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omments/comment1.xml" ContentType="application/vnd.openxmlformats-officedocument.spreadsheetml.comments+xml"/>
  <Override PartName="/xl/worksheets/sheet5.xml" ContentType="application/vnd.openxmlformats-officedocument.spreadsheetml.worksheet+xml"/>
  <Override PartName="/xl/comments/comment2.xml" ContentType="application/vnd.openxmlformats-officedocument.spreadsheetml.comments+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ciones" sheetId="1" state="visible" r:id="rId1"/>
    <sheet xmlns:r="http://schemas.openxmlformats.org/officeDocument/2006/relationships" name="Tablero" sheetId="2" state="visible" r:id="rId2"/>
    <sheet xmlns:r="http://schemas.openxmlformats.org/officeDocument/2006/relationships" name="Ámbito de aplicación" sheetId="3" state="visible" r:id="rId3"/>
    <sheet xmlns:r="http://schemas.openxmlformats.org/officeDocument/2006/relationships" name="Matriz Sistema" sheetId="4" state="visible" r:id="rId4"/>
    <sheet xmlns:r="http://schemas.openxmlformats.org/officeDocument/2006/relationships" name="Matriz RMM" sheetId="5" state="visible" r:id="rId5"/>
    <sheet xmlns:r="http://schemas.openxmlformats.org/officeDocument/2006/relationships" name="Escala" sheetId="6" state="visible" r:id="rId6"/>
  </sheets>
  <definedNames>
    <definedName name="_xlnm._FilterDatabase" localSheetId="3" hidden="1">'Matriz Sistema'!$A$6:$P$136</definedName>
    <definedName name="_xlnm.Print_Titles" localSheetId="3">'Matriz Sistema'!$5:$6</definedName>
    <definedName name="_xlnm._FilterDatabase" localSheetId="4" hidden="1">'Matriz RMM'!$A$6:$P$35</definedName>
    <definedName name="_xlnm.Print_Titles" localSheetId="4">'Matriz RMM'!$5:$6</definedName>
  </definedNames>
  <calcPr calcId="124519" fullCalcOnLoad="1"/>
</workbook>
</file>

<file path=xl/styles.xml><?xml version="1.0" encoding="utf-8"?>
<styleSheet xmlns="http://schemas.openxmlformats.org/spreadsheetml/2006/main">
  <numFmts count="3">
    <numFmt numFmtId="164" formatCode="dd/mm/yyyy"/>
    <numFmt numFmtId="165" formatCode="0.0%"/>
    <numFmt numFmtId="166" formatCode="&quot;Comp. &quot;0%"/>
  </numFmts>
  <fonts count="107">
    <font>
      <name val="Calibri"/>
      <family val="2"/>
      <color theme="1"/>
      <sz val="11"/>
      <scheme val="minor"/>
    </font>
    <font>
      <name val="Arial"/>
      <b val="1"/>
      <color rgb="001F3A5F"/>
      <sz val="16"/>
    </font>
    <font>
      <name val="Arial"/>
      <i val="1"/>
      <color rgb="006B7785"/>
      <sz val="9"/>
    </font>
    <font>
      <name val="Arial"/>
      <b val="1"/>
      <color rgb="00FFFFFF"/>
      <sz val="10"/>
    </font>
    <font>
      <name val="Arial"/>
      <b val="1"/>
      <color rgb="001E6B3A"/>
      <sz val="10"/>
    </font>
    <font>
      <name val="Arial"/>
      <b val="1"/>
      <color rgb="001F2933"/>
      <sz val="10"/>
    </font>
    <font>
      <name val="Arial"/>
      <color rgb="001F2933"/>
      <sz val="9.5"/>
    </font>
    <font>
      <name val="Arial"/>
      <b val="1"/>
      <color rgb="003D6B1E"/>
      <sz val="10"/>
    </font>
    <font>
      <name val="Arial"/>
      <b val="1"/>
      <color rgb="007A5600"/>
      <sz val="10"/>
    </font>
    <font>
      <name val="Arial"/>
      <b val="1"/>
      <color rgb="008A4B0F"/>
      <sz val="10"/>
    </font>
    <font>
      <name val="Arial"/>
      <b val="1"/>
      <color rgb="009B1C24"/>
      <sz val="10"/>
    </font>
    <font>
      <name val="Arial"/>
      <b val="1"/>
      <color rgb="00777777"/>
      <sz val="10"/>
    </font>
    <font>
      <name val="Arial"/>
      <b val="1"/>
      <color rgb="001F3A5F"/>
      <sz val="12"/>
    </font>
    <font>
      <name val="Arial"/>
      <b val="1"/>
      <color rgb="000000FF"/>
      <sz val="10"/>
    </font>
    <font>
      <name val="Arial"/>
      <b val="1"/>
      <color rgb="006B7785"/>
      <sz val="10"/>
    </font>
    <font>
      <name val="Arial"/>
      <b val="1"/>
      <color rgb="001F3A5F"/>
      <sz val="11"/>
    </font>
    <font>
      <name val="Arial"/>
      <b val="1"/>
      <color rgb="00A0A0A0"/>
      <sz val="8"/>
    </font>
    <font>
      <name val="Arial"/>
      <color rgb="00A0A0A0"/>
      <sz val="8"/>
    </font>
    <font>
      <name val="Arial"/>
      <b val="1"/>
      <color rgb="001F3A5F"/>
      <sz val="10.5"/>
    </font>
    <font>
      <name val="Arial"/>
      <b val="1"/>
      <color rgb="00FFFFFF"/>
      <sz val="9"/>
    </font>
    <font>
      <name val="Arial"/>
      <b val="1"/>
      <color rgb="00FFFFFF"/>
      <sz val="9.5"/>
    </font>
    <font>
      <name val="Arial"/>
      <b val="1"/>
      <color rgb="001F3A5F"/>
      <sz val="9"/>
    </font>
    <font>
      <name val="Arial"/>
      <color rgb="001F2933"/>
      <sz val="9"/>
    </font>
    <font>
      <name val="Arial"/>
      <color rgb="006B7785"/>
      <sz val="9"/>
    </font>
    <font>
      <name val="Arial"/>
      <color rgb="001F2933"/>
      <sz val="10"/>
    </font>
    <font>
      <name val="Arial"/>
      <color rgb="000000FF"/>
      <sz val="9"/>
    </font>
    <font>
      <name val="Arial"/>
      <b val="1"/>
      <color rgb="001F3A5F"/>
      <sz val="18"/>
    </font>
    <font>
      <name val="Arial"/>
      <i val="1"/>
      <color rgb="006B7785"/>
      <sz val="9.5"/>
    </font>
    <font>
      <name val="Arial"/>
      <b val="1"/>
      <color rgb="006B7785"/>
      <sz val="8.5"/>
    </font>
    <font>
      <name val="Arial"/>
      <b val="1"/>
      <color rgb="0056626F"/>
      <sz val="9.5"/>
    </font>
    <font>
      <name val="Arial"/>
      <color rgb="000000FF"/>
      <sz val="9.5"/>
    </font>
    <font>
      <name val="Arial"/>
      <color rgb="006B7785"/>
      <sz val="10"/>
    </font>
    <font>
      <name val="Arial"/>
      <b val="1"/>
      <color rgb="001F3A5F"/>
      <sz val="10"/>
    </font>
    <font>
      <name val="Arial"/>
      <i val="1"/>
      <color rgb="006B7785"/>
      <sz val="8.5"/>
    </font>
    <font>
      <name val="Arial"/>
      <b val="1"/>
      <color rgb="006B7785"/>
      <sz val="8"/>
    </font>
    <font>
      <name val="Arial"/>
      <b val="1"/>
      <color rgb="001F3A5F"/>
      <sz val="24"/>
    </font>
    <font>
      <name val="Arial"/>
      <color rgb="006B7785"/>
      <sz val="8.5"/>
    </font>
    <font>
      <name val="Arial"/>
      <b val="1"/>
      <color rgb="002F6F6A"/>
      <sz val="24"/>
    </font>
    <font>
      <name val="Arial"/>
      <b val="1"/>
      <color rgb="009B1C24"/>
      <sz val="24"/>
    </font>
    <font>
      <name val="Arial"/>
      <b val="1"/>
      <color rgb="0056626F"/>
      <sz val="24"/>
    </font>
    <font>
      <name val="Arial"/>
      <b val="1"/>
      <color rgb="0056626F"/>
      <sz val="9"/>
    </font>
    <font>
      <name val="Arial"/>
      <i val="1"/>
      <color rgb="00C00000"/>
      <sz val="8.5"/>
    </font>
    <font>
      <name val="Arial"/>
      <b val="1"/>
      <color rgb="000000FF"/>
      <sz val="9"/>
    </font>
    <font>
      <name val="Arial"/>
      <b val="1"/>
      <color rgb="00A0A0A0"/>
      <sz val="9"/>
    </font>
    <font>
      <name val="Arial"/>
      <b val="1"/>
      <color rgb="001E6B3A"/>
      <sz val="9"/>
    </font>
    <font>
      <name val="Arial"/>
      <i val="1"/>
      <color rgb="006B7785"/>
      <sz val="8"/>
    </font>
    <font>
      <name val="Arial"/>
      <b val="1"/>
      <color rgb="006B7785"/>
      <sz val="9.5"/>
    </font>
    <font>
      <name val="Arial"/>
      <b val="1"/>
      <color rgb="00FFFFFF"/>
      <sz val="12"/>
    </font>
    <font>
      <name val="Arial"/>
      <b val="1"/>
      <color rgb="00C00000"/>
      <sz val="9"/>
    </font>
    <font>
      <name val="Arial"/>
      <i val="1"/>
      <color rgb="006B7785"/>
      <sz val="10"/>
    </font>
    <font>
      <name val="Arial"/>
      <b val="1"/>
      <color rgb="000000FF"/>
      <sz val="9.5"/>
    </font>
    <font>
      <name val="Arial"/>
      <b val="1"/>
      <color rgb="001F3A5F"/>
      <sz val="9.5"/>
    </font>
    <font>
      <name val="Arial"/>
      <b val="1"/>
      <color rgb="001F2933"/>
      <sz val="9.5"/>
    </font>
    <font>
      <name val="Arial"/>
      <b val="1"/>
      <color rgb="007A5600"/>
      <sz val="9"/>
    </font>
    <font>
      <name val="Calibri"/>
      <sz val="11"/>
    </font>
    <font>
      <name val="Georgia"/>
      <b val="1"/>
      <color rgb="001B1A17"/>
      <sz val="20"/>
    </font>
    <font>
      <name val="Calibri"/>
      <i val="1"/>
      <color rgb="0057534A"/>
      <sz val="10"/>
    </font>
    <font>
      <name val="Calibri"/>
      <color rgb="001B1A17"/>
      <sz val="10"/>
    </font>
    <font>
      <name val="Calibri"/>
      <b val="1"/>
      <color rgb="00F3EEE3"/>
      <sz val="9"/>
    </font>
    <font>
      <name val="Calibri"/>
      <b val="1"/>
      <color rgb="00A12B22"/>
      <sz val="10"/>
    </font>
    <font>
      <name val="Calibri"/>
      <color rgb="001B1A17"/>
      <sz val="9.5"/>
    </font>
    <font>
      <name val="Calibri"/>
      <b val="1"/>
      <color rgb="001F5FA8"/>
      <sz val="9.5"/>
    </font>
    <font>
      <name val="Calibri"/>
      <b val="1"/>
      <color rgb="001B1A17"/>
      <sz val="9.5"/>
    </font>
    <font>
      <name val="Calibri"/>
      <b val="1"/>
      <color rgb="0057534A"/>
      <sz val="9"/>
    </font>
    <font>
      <name val="Calibri"/>
      <color rgb="001F5FA8"/>
      <sz val="9"/>
    </font>
    <font>
      <name val="Calibri"/>
      <b val="1"/>
      <color rgb="007A5A0F"/>
      <sz val="9"/>
    </font>
    <font>
      <name val="Calibri"/>
      <i val="1"/>
      <color rgb="0057534A"/>
      <sz val="9.5"/>
    </font>
    <font>
      <name val="Calibri"/>
      <b val="1"/>
      <color rgb="0057534A"/>
      <sz val="8.5"/>
    </font>
    <font>
      <name val="Calibri"/>
      <b val="1"/>
      <color rgb="0057534A"/>
      <sz val="9.5"/>
    </font>
    <font>
      <name val="Calibri"/>
      <color rgb="001F5FA8"/>
      <sz val="9.5"/>
    </font>
    <font>
      <name val="Calibri"/>
      <b val="1"/>
      <color rgb="0057534A"/>
      <sz val="8"/>
    </font>
    <font>
      <name val="Calibri"/>
      <color rgb="0057534A"/>
      <sz val="9"/>
    </font>
    <font>
      <name val="Georgia"/>
      <b val="1"/>
      <color rgb="001B1A17"/>
      <sz val="26"/>
    </font>
    <font>
      <name val="Calibri"/>
      <b val="1"/>
      <color rgb="002F6F6A"/>
      <sz val="24"/>
    </font>
    <font>
      <name val="Calibri"/>
      <b val="1"/>
      <color rgb="00A12B22"/>
      <sz val="24"/>
    </font>
    <font>
      <name val="Calibri"/>
      <b val="1"/>
      <color rgb="0057534A"/>
      <sz val="24"/>
    </font>
    <font>
      <name val="Calibri"/>
      <color rgb="0057534A"/>
      <sz val="8.5"/>
    </font>
    <font>
      <name val="Georgia"/>
      <b val="1"/>
      <color rgb="001B1A17"/>
      <sz val="14"/>
    </font>
    <font>
      <name val="Calibri"/>
      <color rgb="0057534A"/>
      <sz val="10"/>
    </font>
    <font>
      <name val="Calibri"/>
      <b val="1"/>
      <color rgb="001B1A17"/>
      <sz val="10"/>
    </font>
    <font>
      <name val="Calibri"/>
      <i val="1"/>
      <color rgb="0057534A"/>
      <sz val="8.5"/>
    </font>
    <font>
      <name val="Calibri"/>
      <i val="1"/>
      <color rgb="0057534A"/>
      <sz val="9"/>
    </font>
    <font>
      <name val="Calibri"/>
      <b val="1"/>
      <color rgb="001F5FA8"/>
      <sz val="10"/>
    </font>
    <font>
      <name val="Calibri"/>
      <color rgb="001B1A17"/>
      <sz val="9"/>
    </font>
    <font>
      <name val="Calibri"/>
      <b val="1"/>
      <color rgb="001F5FA8"/>
      <sz val="9"/>
    </font>
    <font>
      <name val="Calibri"/>
      <i val="1"/>
      <color rgb="00C00000"/>
      <sz val="8.5"/>
    </font>
    <font>
      <name val="Calibri"/>
      <b val="1"/>
      <color rgb="00857F72"/>
      <sz val="9"/>
    </font>
    <font>
      <name val="Calibri"/>
      <b val="1"/>
      <color rgb="003D6B47"/>
      <sz val="9"/>
    </font>
    <font>
      <name val="Calibri"/>
      <i val="1"/>
      <color rgb="0057534A"/>
      <sz val="8"/>
    </font>
    <font>
      <name val="Calibri"/>
      <b val="1"/>
      <color rgb="00F3EEE3"/>
      <sz val="12"/>
    </font>
    <font>
      <name val="Calibri"/>
      <b val="1"/>
      <color rgb="00C00000"/>
      <sz val="9"/>
    </font>
    <font>
      <name val="Georgia"/>
      <b val="1"/>
      <color rgb="001B1A17"/>
      <sz val="18"/>
    </font>
    <font>
      <name val="Calibri"/>
      <b val="1"/>
      <color rgb="001B1A17"/>
      <sz val="10.5"/>
    </font>
    <font>
      <name val="Calibri"/>
      <b val="1"/>
      <color rgb="00F3EEE3"/>
      <sz val="9.5"/>
    </font>
    <font>
      <name val="Calibri"/>
      <b val="1"/>
      <color rgb="00A12B22"/>
      <sz val="9"/>
    </font>
    <font>
      <name val="Calibri"/>
      <color rgb="00857F72"/>
      <sz val="8"/>
    </font>
    <font>
      <name val="Calibri"/>
      <b val="1"/>
      <color rgb="00F3EEE3"/>
      <sz val="10"/>
    </font>
    <font>
      <name val="Calibri"/>
      <b val="1"/>
      <color rgb="00857F72"/>
      <sz val="8"/>
    </font>
    <font>
      <name val="Calibri"/>
      <b val="1"/>
      <color rgb="003D6B47"/>
      <sz val="10"/>
    </font>
    <font>
      <name val="Calibri"/>
      <b val="1"/>
      <color rgb="004F6B2A"/>
      <sz val="10"/>
    </font>
    <font>
      <name val="Calibri"/>
      <b val="1"/>
      <color rgb="007A5A0F"/>
      <sz val="10"/>
    </font>
    <font>
      <name val="Calibri"/>
      <b val="1"/>
      <color rgb="008A4B0F"/>
      <sz val="10"/>
    </font>
    <font>
      <name val="Calibri"/>
      <b val="1"/>
      <color rgb="00857F72"/>
      <sz val="10"/>
    </font>
    <font>
      <name val="Calibri"/>
      <b val="1"/>
      <color rgb="0057534A"/>
      <sz val="10"/>
    </font>
    <font>
      <name val="Calibri"/>
      <b val="1"/>
      <color rgb="00A12B22"/>
      <sz val="11"/>
    </font>
    <font>
      <name val="Consolas"/>
      <b val="1"/>
      <color rgb="001B1A17"/>
      <sz val="9"/>
    </font>
    <font>
      <name val="Consolas"/>
      <color rgb="00A12B22"/>
      <sz val="9"/>
    </font>
  </fonts>
  <fills count="29">
    <fill>
      <patternFill/>
    </fill>
    <fill>
      <patternFill patternType="gray125"/>
    </fill>
    <fill>
      <patternFill patternType="solid">
        <fgColor rgb="001F3A5F"/>
        <bgColor rgb="001F3A5F"/>
      </patternFill>
    </fill>
    <fill>
      <patternFill patternType="solid">
        <fgColor rgb="00D8EFE0"/>
        <bgColor rgb="00D8EFE0"/>
      </patternFill>
    </fill>
    <fill>
      <patternFill patternType="solid">
        <fgColor rgb="00E7F3DA"/>
        <bgColor rgb="00E7F3DA"/>
      </patternFill>
    </fill>
    <fill>
      <patternFill patternType="solid">
        <fgColor rgb="00FFF1CC"/>
        <bgColor rgb="00FFF1CC"/>
      </patternFill>
    </fill>
    <fill>
      <patternFill patternType="solid">
        <fgColor rgb="00FDE2C8"/>
        <bgColor rgb="00FDE2C8"/>
      </patternFill>
    </fill>
    <fill>
      <patternFill patternType="solid">
        <fgColor rgb="00F8D7DA"/>
        <bgColor rgb="00F8D7DA"/>
      </patternFill>
    </fill>
    <fill>
      <patternFill patternType="solid">
        <fgColor rgb="00EEEEEE"/>
        <bgColor rgb="00EEEEEE"/>
      </patternFill>
    </fill>
    <fill>
      <patternFill patternType="solid">
        <fgColor rgb="00FFF8E1"/>
        <bgColor rgb="00FFF8E1"/>
      </patternFill>
    </fill>
    <fill>
      <patternFill patternType="solid">
        <fgColor rgb="00F6F8FA"/>
        <bgColor rgb="00F6F8FA"/>
      </patternFill>
    </fill>
    <fill>
      <patternFill patternType="solid">
        <fgColor rgb="002F6F6A"/>
        <bgColor rgb="002F6F6A"/>
      </patternFill>
    </fill>
    <fill>
      <patternFill patternType="solid">
        <fgColor rgb="0056626F"/>
        <bgColor rgb="0056626F"/>
      </patternFill>
    </fill>
    <fill>
      <patternFill patternType="solid">
        <fgColor rgb="00A0A0A0"/>
        <bgColor rgb="00A0A0A0"/>
      </patternFill>
    </fill>
    <fill>
      <patternFill patternType="solid">
        <fgColor rgb="00E9EEF4"/>
        <bgColor rgb="00E9EEF4"/>
      </patternFill>
    </fill>
    <fill>
      <patternFill patternType="solid">
        <fgColor rgb="00FFFFFF"/>
        <bgColor rgb="00FFFFFF"/>
      </patternFill>
    </fill>
    <fill>
      <patternFill patternType="solid">
        <fgColor rgb="001B1A17"/>
      </patternFill>
    </fill>
    <fill>
      <patternFill patternType="solid">
        <fgColor rgb="00FAF0C8"/>
      </patternFill>
    </fill>
    <fill>
      <patternFill patternType="solid">
        <fgColor rgb="00EBE4D5"/>
      </patternFill>
    </fill>
    <fill>
      <patternFill patternType="solid">
        <fgColor rgb="00FFFFFF"/>
      </patternFill>
    </fill>
    <fill>
      <patternFill patternType="solid">
        <fgColor rgb="00FBF8F1"/>
      </patternFill>
    </fill>
    <fill>
      <patternFill patternType="solid">
        <fgColor rgb="00F6EAC2"/>
      </patternFill>
    </fill>
    <fill>
      <patternFill patternType="solid">
        <fgColor rgb="0057534A"/>
      </patternFill>
    </fill>
    <fill>
      <patternFill patternType="solid">
        <fgColor rgb="00A12B22"/>
      </patternFill>
    </fill>
    <fill>
      <patternFill patternType="solid">
        <fgColor rgb="00857F72"/>
      </patternFill>
    </fill>
    <fill>
      <patternFill patternType="solid">
        <fgColor rgb="00DCE7D8"/>
      </patternFill>
    </fill>
    <fill>
      <patternFill patternType="solid">
        <fgColor rgb="00E7ECD8"/>
      </patternFill>
    </fill>
    <fill>
      <patternFill patternType="solid">
        <fgColor rgb="00F3DDC8"/>
      </patternFill>
    </fill>
    <fill>
      <patternFill patternType="solid">
        <fgColor rgb="00F2D7D1"/>
      </patternFill>
    </fill>
  </fills>
  <borders count="52">
    <border>
      <left/>
      <right/>
      <top/>
      <bottom/>
      <diagonal/>
    </border>
    <border>
      <bottom style="thin">
        <color rgb="00D5DBE3"/>
      </bottom>
    </border>
    <border>
      <top style="thin">
        <color rgb="00FFFFFF"/>
      </top>
    </border>
    <border>
      <top style="medium">
        <color rgb="001F3A5F"/>
      </top>
      <bottom style="thin">
        <color rgb="00D5DBE3"/>
      </bottom>
    </border>
    <border>
      <left style="thin">
        <color rgb="00D5DBE3"/>
      </left>
      <top style="thick">
        <color rgb="001F3A5F"/>
      </top>
    </border>
    <border>
      <right style="thin">
        <color rgb="00D5DBE3"/>
      </right>
      <top style="thick">
        <color rgb="001F3A5F"/>
      </top>
    </border>
    <border>
      <left style="thin">
        <color rgb="00D5DBE3"/>
      </left>
    </border>
    <border>
      <right style="thin">
        <color rgb="00D5DBE3"/>
      </right>
    </border>
    <border>
      <left style="thin">
        <color rgb="00D5DBE3"/>
      </left>
      <bottom style="thin">
        <color rgb="00D5DBE3"/>
      </bottom>
    </border>
    <border>
      <right style="thin">
        <color rgb="00D5DBE3"/>
      </right>
      <bottom style="thin">
        <color rgb="00D5DBE3"/>
      </bottom>
    </border>
    <border>
      <left style="thin">
        <color rgb="00D5DBE3"/>
      </left>
      <top style="thick">
        <color rgb="002F6F6A"/>
      </top>
    </border>
    <border>
      <right style="thin">
        <color rgb="00D5DBE3"/>
      </right>
      <top style="thick">
        <color rgb="002F6F6A"/>
      </top>
    </border>
    <border>
      <left style="thin">
        <color rgb="00D5DBE3"/>
      </left>
      <top style="thick">
        <color rgb="009B1C24"/>
      </top>
    </border>
    <border>
      <right style="thin">
        <color rgb="00D5DBE3"/>
      </right>
      <top style="thick">
        <color rgb="009B1C24"/>
      </top>
    </border>
    <border>
      <left style="thin">
        <color rgb="00D5DBE3"/>
      </left>
      <top style="thick">
        <color rgb="0056626F"/>
      </top>
    </border>
    <border>
      <right style="thin">
        <color rgb="00D5DBE3"/>
      </right>
      <top style="thick">
        <color rgb="0056626F"/>
      </top>
    </border>
    <border>
      <left style="thin">
        <color rgb="00D5DBE3"/>
      </left>
      <top style="medium">
        <color rgb="001F3A5F"/>
      </top>
      <bottom style="thin">
        <color rgb="00D5DBE3"/>
      </bottom>
    </border>
    <border>
      <right style="thin">
        <color rgb="00D5DBE3"/>
      </right>
      <top style="medium">
        <color rgb="001F3A5F"/>
      </top>
      <bottom style="thin">
        <color rgb="00D5DBE3"/>
      </bottom>
    </border>
    <border>
      <left style="thin">
        <color rgb="00D5DBE3"/>
      </left>
      <right style="thin">
        <color rgb="00D5DBE3"/>
      </right>
      <top style="thin">
        <color rgb="00D5DBE3"/>
      </top>
      <bottom style="thin">
        <color rgb="00D5DBE3"/>
      </bottom>
    </border>
    <border>
      <left/>
      <right/>
      <top/>
      <bottom style="thin">
        <color rgb="00D5DBE3"/>
      </bottom>
      <diagonal/>
    </border>
    <border>
      <left style="thin">
        <color rgb="00D5DBE3"/>
      </left>
      <right style="thin">
        <color rgb="00D5DBE3"/>
      </right>
    </border>
    <border>
      <left style="thin">
        <color rgb="00D5DBE3"/>
      </left>
      <right/>
      <top/>
      <bottom/>
      <diagonal/>
    </border>
    <border>
      <left/>
      <right style="thin">
        <color rgb="00D5DBE3"/>
      </right>
      <top/>
      <bottom/>
      <diagonal/>
    </border>
    <border>
      <left style="thin">
        <color rgb="00D5DBE3"/>
      </left>
      <right style="thin">
        <color rgb="00D5DBE3"/>
      </right>
      <top style="thick">
        <color rgb="002F6F6A"/>
      </top>
    </border>
    <border>
      <left/>
      <right/>
      <top style="thick">
        <color rgb="002F6F6A"/>
      </top>
      <bottom/>
      <diagonal/>
    </border>
    <border>
      <left/>
      <right style="thin">
        <color rgb="00D5DBE3"/>
      </right>
      <top style="thick">
        <color rgb="002F6F6A"/>
      </top>
      <bottom/>
      <diagonal/>
    </border>
    <border>
      <left style="thin">
        <color rgb="00D5DBE3"/>
      </left>
      <right style="thin">
        <color rgb="00D5DBE3"/>
      </right>
      <top style="thick">
        <color rgb="001F3A5F"/>
      </top>
    </border>
    <border>
      <left/>
      <right/>
      <top style="thick">
        <color rgb="001F3A5F"/>
      </top>
      <bottom/>
      <diagonal/>
    </border>
    <border>
      <left/>
      <right style="thin">
        <color rgb="00D5DBE3"/>
      </right>
      <top style="thick">
        <color rgb="001F3A5F"/>
      </top>
      <bottom/>
      <diagonal/>
    </border>
    <border>
      <left style="thin">
        <color rgb="00D5DBE3"/>
      </left>
      <right style="thin">
        <color rgb="00D5DBE3"/>
      </right>
      <top style="thick">
        <color rgb="0056626F"/>
      </top>
    </border>
    <border>
      <left/>
      <right/>
      <top style="thick">
        <color rgb="0056626F"/>
      </top>
      <bottom/>
      <diagonal/>
    </border>
    <border>
      <left/>
      <right style="thin">
        <color rgb="00D5DBE3"/>
      </right>
      <top style="thick">
        <color rgb="0056626F"/>
      </top>
      <bottom/>
      <diagonal/>
    </border>
    <border>
      <left style="thin">
        <color rgb="00D5DBE3"/>
      </left>
      <right style="thin">
        <color rgb="00D5DBE3"/>
      </right>
      <top style="thick">
        <color rgb="009B1C24"/>
      </top>
    </border>
    <border>
      <left/>
      <right/>
      <top style="thick">
        <color rgb="009B1C24"/>
      </top>
      <bottom/>
      <diagonal/>
    </border>
    <border>
      <left/>
      <right style="thin">
        <color rgb="00D5DBE3"/>
      </right>
      <top style="thick">
        <color rgb="009B1C24"/>
      </top>
      <bottom/>
      <diagonal/>
    </border>
    <border>
      <left style="thin">
        <color rgb="00D5DBE3"/>
      </left>
      <right style="thin">
        <color rgb="00D5DBE3"/>
      </right>
      <bottom style="thin">
        <color rgb="00D5DBE3"/>
      </bottom>
    </border>
    <border>
      <left/>
      <right style="thin">
        <color rgb="00D5DBE3"/>
      </right>
      <top/>
      <bottom style="thin">
        <color rgb="00D5DBE3"/>
      </bottom>
      <diagonal/>
    </border>
    <border>
      <left/>
      <right/>
      <top style="medium">
        <color rgb="001F3A5F"/>
      </top>
      <bottom/>
      <diagonal/>
    </border>
    <border>
      <left/>
      <right/>
      <top style="medium">
        <color rgb="001F3A5F"/>
      </top>
      <bottom style="thin">
        <color rgb="00D5DBE3"/>
      </bottom>
      <diagonal/>
    </border>
    <border>
      <left/>
      <right/>
      <top/>
      <bottom style="thin">
        <color rgb="00D3CAB7"/>
      </bottom>
    </border>
    <border>
      <left style="thin">
        <color rgb="00D3CAB7"/>
      </left>
      <right style="thin">
        <color rgb="00D3CAB7"/>
      </right>
      <top style="thin">
        <color rgb="00D3CAB7"/>
      </top>
      <bottom style="thin">
        <color rgb="00D3CAB7"/>
      </bottom>
    </border>
    <border>
      <left style="thin">
        <color rgb="00D3CAB7"/>
      </left>
      <right style="thin">
        <color rgb="00D3CAB7"/>
      </right>
      <top style="thick">
        <color rgb="00D3CAB7"/>
      </top>
      <bottom/>
    </border>
    <border>
      <left/>
      <right style="thin">
        <color rgb="00D3CAB7"/>
      </right>
      <top style="thick">
        <color rgb="00D3CAB7"/>
      </top>
      <bottom/>
    </border>
    <border>
      <left style="thin">
        <color rgb="00D3CAB7"/>
      </left>
      <right style="thin">
        <color rgb="00D3CAB7"/>
      </right>
      <top/>
      <bottom/>
    </border>
    <border>
      <left/>
      <right style="thin">
        <color rgb="00D3CAB7"/>
      </right>
      <top/>
      <bottom/>
    </border>
    <border>
      <left style="thin">
        <color rgb="00D3CAB7"/>
      </left>
      <right/>
      <top/>
      <bottom/>
    </border>
    <border>
      <left style="thin">
        <color rgb="00D3CAB7"/>
      </left>
      <right style="thin">
        <color rgb="00D3CAB7"/>
      </right>
      <top/>
      <bottom style="thin">
        <color rgb="00D3CAB7"/>
      </bottom>
    </border>
    <border>
      <left/>
      <right style="thin">
        <color rgb="00D3CAB7"/>
      </right>
      <top/>
      <bottom style="thin">
        <color rgb="00D3CAB7"/>
      </bottom>
    </border>
    <border>
      <left/>
      <right/>
      <top style="medium">
        <color rgb="00D3CAB7"/>
      </top>
      <bottom style="thin">
        <color rgb="00D3CAB7"/>
      </bottom>
    </border>
    <border>
      <left style="thin">
        <color rgb="00D3CAB7"/>
      </left>
      <right/>
      <top style="medium">
        <color rgb="00D3CAB7"/>
      </top>
      <bottom style="thin">
        <color rgb="00D3CAB7"/>
      </bottom>
    </border>
    <border>
      <left/>
      <right style="thin">
        <color rgb="00D3CAB7"/>
      </right>
      <top style="medium">
        <color rgb="00D3CAB7"/>
      </top>
      <bottom style="thin">
        <color rgb="00D3CAB7"/>
      </bottom>
    </border>
    <border>
      <left/>
      <right/>
      <top style="thin">
        <color rgb="00D3CAB7"/>
      </top>
      <bottom/>
    </border>
  </borders>
  <cellStyleXfs count="1">
    <xf numFmtId="0" fontId="0" fillId="0" borderId="0"/>
  </cellStyleXfs>
  <cellXfs count="213">
    <xf numFmtId="0" fontId="0" fillId="0" borderId="0" pivotButton="0" quotePrefix="0" xfId="0"/>
    <xf numFmtId="0" fontId="26" fillId="0" borderId="0" pivotButton="0" quotePrefix="0" xfId="0"/>
    <xf numFmtId="0" fontId="49" fillId="0" borderId="0" pivotButton="0" quotePrefix="0" xfId="0"/>
    <xf numFmtId="0" fontId="24" fillId="0" borderId="0" applyAlignment="1" pivotButton="0" quotePrefix="0" xfId="0">
      <alignment vertical="top" wrapText="1"/>
    </xf>
    <xf numFmtId="0" fontId="19" fillId="2" borderId="0" applyAlignment="1" pivotButton="0" quotePrefix="0" xfId="0">
      <alignment horizontal="left" vertical="center" wrapText="1" indent="1"/>
    </xf>
    <xf numFmtId="0" fontId="0" fillId="2" borderId="0" pivotButton="0" quotePrefix="0" xfId="0"/>
    <xf numFmtId="0" fontId="32" fillId="0" borderId="1" applyAlignment="1" pivotButton="0" quotePrefix="0" xfId="0">
      <alignment horizontal="left" vertical="center" wrapText="1" indent="1"/>
    </xf>
    <xf numFmtId="0" fontId="6" fillId="0" borderId="1" applyAlignment="1" pivotButton="0" quotePrefix="0" xfId="0">
      <alignment horizontal="left" vertical="center" wrapText="1" indent="1"/>
    </xf>
    <xf numFmtId="0" fontId="0" fillId="0" borderId="1" pivotButton="0" quotePrefix="0" xfId="0"/>
    <xf numFmtId="0" fontId="6" fillId="0" borderId="0" applyAlignment="1" pivotButton="0" quotePrefix="0" xfId="0">
      <alignment horizontal="left" vertical="center" wrapText="1" indent="1"/>
    </xf>
    <xf numFmtId="0" fontId="50" fillId="9" borderId="18" applyAlignment="1" pivotButton="0" quotePrefix="0" xfId="0">
      <alignment horizontal="left" vertical="center" wrapText="1" indent="1"/>
    </xf>
    <xf numFmtId="0" fontId="51" fillId="14" borderId="18" applyAlignment="1" pivotButton="0" quotePrefix="0" xfId="0">
      <alignment horizontal="left" vertical="center" wrapText="1" indent="1"/>
    </xf>
    <xf numFmtId="0" fontId="52" fillId="15" borderId="18" applyAlignment="1" pivotButton="0" quotePrefix="0" xfId="0">
      <alignment horizontal="left" vertical="center" wrapText="1" indent="1"/>
    </xf>
    <xf numFmtId="0" fontId="40" fillId="10" borderId="1" applyAlignment="1" pivotButton="0" quotePrefix="0" xfId="0">
      <alignment horizontal="left" vertical="center" wrapText="1" indent="1"/>
    </xf>
    <xf numFmtId="0" fontId="25" fillId="9" borderId="1" applyAlignment="1" pivotButton="0" quotePrefix="0" xfId="0">
      <alignment vertical="center" wrapText="1"/>
    </xf>
    <xf numFmtId="0" fontId="53" fillId="5" borderId="1" applyAlignment="1" pivotButton="0" quotePrefix="0" xfId="0">
      <alignment horizontal="center" vertical="center" wrapText="1"/>
    </xf>
    <xf numFmtId="0" fontId="27" fillId="0" borderId="0" pivotButton="0" quotePrefix="0" xfId="0"/>
    <xf numFmtId="0" fontId="28" fillId="0" borderId="0" pivotButton="0" quotePrefix="0" xfId="0"/>
    <xf numFmtId="0" fontId="29" fillId="0" borderId="1" applyAlignment="1" pivotButton="0" quotePrefix="0" xfId="0">
      <alignment vertical="center" indent="1"/>
    </xf>
    <xf numFmtId="0" fontId="30" fillId="9" borderId="1" applyAlignment="1" pivotButton="0" quotePrefix="0" xfId="0">
      <alignment vertical="center" wrapText="1" indent="1"/>
    </xf>
    <xf numFmtId="0" fontId="0" fillId="9" borderId="1" pivotButton="0" quotePrefix="0" xfId="0"/>
    <xf numFmtId="164" fontId="30" fillId="9" borderId="1" applyAlignment="1" pivotButton="0" quotePrefix="0" xfId="0">
      <alignment vertical="center" wrapText="1" indent="1"/>
    </xf>
    <xf numFmtId="0" fontId="40" fillId="0" borderId="0" pivotButton="0" quotePrefix="0" xfId="0"/>
    <xf numFmtId="0" fontId="34" fillId="0" borderId="4" applyAlignment="1" pivotButton="0" quotePrefix="0" xfId="0">
      <alignment horizontal="center" vertical="center" wrapText="1"/>
    </xf>
    <xf numFmtId="0" fontId="0" fillId="0" borderId="5" pivotButton="0" quotePrefix="0" xfId="0"/>
    <xf numFmtId="0" fontId="34" fillId="0" borderId="10" applyAlignment="1" pivotButton="0" quotePrefix="0" xfId="0">
      <alignment horizontal="center" vertical="center" wrapText="1"/>
    </xf>
    <xf numFmtId="0" fontId="0" fillId="0" borderId="11" pivotButton="0" quotePrefix="0" xfId="0"/>
    <xf numFmtId="0" fontId="34" fillId="0" borderId="12" applyAlignment="1" pivotButton="0" quotePrefix="0" xfId="0">
      <alignment horizontal="center" vertical="center" wrapText="1"/>
    </xf>
    <xf numFmtId="0" fontId="0" fillId="0" borderId="13" pivotButton="0" quotePrefix="0" xfId="0"/>
    <xf numFmtId="0" fontId="34" fillId="0" borderId="14" applyAlignment="1" pivotButton="0" quotePrefix="0" xfId="0">
      <alignment horizontal="center" vertical="center" wrapText="1"/>
    </xf>
    <xf numFmtId="0" fontId="0" fillId="0" borderId="15" pivotButton="0" quotePrefix="0" xfId="0"/>
    <xf numFmtId="0" fontId="23" fillId="0" borderId="0" applyAlignment="1" pivotButton="0" quotePrefix="0" xfId="0">
      <alignment vertical="top" wrapText="1"/>
    </xf>
    <xf numFmtId="9" fontId="35" fillId="0" borderId="6" applyAlignment="1" pivotButton="0" quotePrefix="0" xfId="0">
      <alignment horizontal="center" vertical="center" wrapText="1"/>
    </xf>
    <xf numFmtId="0" fontId="0" fillId="0" borderId="7" pivotButton="0" quotePrefix="0" xfId="0"/>
    <xf numFmtId="9" fontId="37" fillId="0" borderId="6" applyAlignment="1" pivotButton="0" quotePrefix="0" xfId="0">
      <alignment horizontal="center" vertical="center" wrapText="1"/>
    </xf>
    <xf numFmtId="1" fontId="38" fillId="0" borderId="6" applyAlignment="1" pivotButton="0" quotePrefix="0" xfId="0">
      <alignment horizontal="center" vertical="center" wrapText="1"/>
    </xf>
    <xf numFmtId="1" fontId="39" fillId="0" borderId="6" applyAlignment="1" pivotButton="0" quotePrefix="0" xfId="0">
      <alignment horizontal="center" vertical="center" wrapText="1"/>
    </xf>
    <xf numFmtId="0" fontId="0" fillId="0" borderId="6" pivotButton="0" quotePrefix="0" xfId="0"/>
    <xf numFmtId="0" fontId="36" fillId="0" borderId="8" applyAlignment="1" pivotButton="0" quotePrefix="0" xfId="0">
      <alignment horizontal="center" vertical="center" wrapText="1"/>
    </xf>
    <xf numFmtId="0" fontId="0" fillId="0" borderId="9" pivotButton="0" quotePrefix="0" xfId="0"/>
    <xf numFmtId="0" fontId="40" fillId="0" borderId="0" applyAlignment="1" pivotButton="0" quotePrefix="0" xfId="0">
      <alignment vertical="center"/>
    </xf>
    <xf numFmtId="0" fontId="12" fillId="0" borderId="0" pivotButton="0" quotePrefix="0" xfId="0"/>
    <xf numFmtId="0" fontId="19" fillId="2" borderId="0" applyAlignment="1" pivotButton="0" quotePrefix="0" xfId="0">
      <alignment horizontal="center" vertical="center" wrapText="1"/>
    </xf>
    <xf numFmtId="0" fontId="24" fillId="0" borderId="1" applyAlignment="1" pivotButton="0" quotePrefix="0" xfId="0">
      <alignment horizontal="center" vertical="center" wrapText="1"/>
    </xf>
    <xf numFmtId="9" fontId="24" fillId="0" borderId="1" applyAlignment="1" pivotButton="0" quotePrefix="0" xfId="0">
      <alignment horizontal="center" vertical="center" wrapText="1"/>
    </xf>
    <xf numFmtId="0" fontId="31" fillId="0" borderId="1" applyAlignment="1" pivotButton="0" quotePrefix="0" xfId="0">
      <alignment horizontal="center" vertical="center" wrapText="1"/>
    </xf>
    <xf numFmtId="0" fontId="6" fillId="10" borderId="1" applyAlignment="1" pivotButton="0" quotePrefix="0" xfId="0">
      <alignment horizontal="left" vertical="center" wrapText="1" indent="1"/>
    </xf>
    <xf numFmtId="0" fontId="24" fillId="10" borderId="1" applyAlignment="1" pivotButton="0" quotePrefix="0" xfId="0">
      <alignment horizontal="center" vertical="center" wrapText="1"/>
    </xf>
    <xf numFmtId="9" fontId="24" fillId="10" borderId="1" applyAlignment="1" pivotButton="0" quotePrefix="0" xfId="0">
      <alignment horizontal="center" vertical="center" wrapText="1"/>
    </xf>
    <xf numFmtId="0" fontId="31" fillId="10" borderId="1" applyAlignment="1" pivotButton="0" quotePrefix="0" xfId="0">
      <alignment horizontal="center" vertical="center" wrapText="1"/>
    </xf>
    <xf numFmtId="0" fontId="32" fillId="14" borderId="3" applyAlignment="1" pivotButton="0" quotePrefix="0" xfId="0">
      <alignment horizontal="left" vertical="center" wrapText="1" indent="1"/>
    </xf>
    <xf numFmtId="0" fontId="32" fillId="14" borderId="3" applyAlignment="1" pivotButton="0" quotePrefix="0" xfId="0">
      <alignment horizontal="center" vertical="center" wrapText="1"/>
    </xf>
    <xf numFmtId="165" fontId="32" fillId="14" borderId="3" applyAlignment="1" pivotButton="0" quotePrefix="0" xfId="0">
      <alignment horizontal="center" vertical="center" wrapText="1"/>
    </xf>
    <xf numFmtId="0" fontId="33" fillId="0" borderId="0" pivotButton="0" quotePrefix="0" xfId="0"/>
    <xf numFmtId="0" fontId="2" fillId="0" borderId="0" pivotButton="0" quotePrefix="0" xfId="0"/>
    <xf numFmtId="0" fontId="19" fillId="12" borderId="0" applyAlignment="1" pivotButton="0" quotePrefix="0" xfId="0">
      <alignment horizontal="left" vertical="center" wrapText="1" indent="1"/>
    </xf>
    <xf numFmtId="0" fontId="19" fillId="12" borderId="0" applyAlignment="1" pivotButton="0" quotePrefix="0" xfId="0">
      <alignment horizontal="center" vertical="center" wrapText="1"/>
    </xf>
    <xf numFmtId="0" fontId="13" fillId="9" borderId="1" applyAlignment="1" pivotButton="0" quotePrefix="0" xfId="0">
      <alignment horizontal="left" vertical="center" wrapText="1" indent="1"/>
    </xf>
    <xf numFmtId="0" fontId="22" fillId="0" borderId="1" applyAlignment="1" pivotButton="0" quotePrefix="0" xfId="0">
      <alignment horizontal="left" vertical="center" wrapText="1" indent="1"/>
    </xf>
    <xf numFmtId="3" fontId="42" fillId="0" borderId="1" applyAlignment="1" pivotButton="0" quotePrefix="0" xfId="0">
      <alignment horizontal="center" vertical="center" wrapText="1"/>
    </xf>
    <xf numFmtId="0" fontId="36" fillId="0" borderId="1" applyAlignment="1" pivotButton="0" quotePrefix="0" xfId="0">
      <alignment horizontal="center" vertical="center" wrapText="1"/>
    </xf>
    <xf numFmtId="3" fontId="13" fillId="9" borderId="1" applyAlignment="1" pivotButton="0" quotePrefix="0" xfId="0">
      <alignment horizontal="right" vertical="center" wrapText="1" indent="1"/>
    </xf>
    <xf numFmtId="0" fontId="41" fillId="0" borderId="0" pivotButton="0" quotePrefix="0" xfId="0"/>
    <xf numFmtId="0" fontId="43" fillId="0" borderId="1" applyAlignment="1" pivotButton="0" quotePrefix="0" xfId="0">
      <alignment horizontal="center" vertical="center" wrapText="1"/>
    </xf>
    <xf numFmtId="0" fontId="44" fillId="0" borderId="1" applyAlignment="1" pivotButton="0" quotePrefix="0" xfId="0">
      <alignment horizontal="center" vertical="center" wrapText="1"/>
    </xf>
    <xf numFmtId="3" fontId="5" fillId="0" borderId="1" applyAlignment="1" pivotButton="0" quotePrefix="0" xfId="0">
      <alignment horizontal="right" vertical="center" indent="1"/>
    </xf>
    <xf numFmtId="0" fontId="46" fillId="0" borderId="1" applyAlignment="1" pivotButton="0" quotePrefix="0" xfId="0">
      <alignment horizontal="center" vertical="center" wrapText="1"/>
    </xf>
    <xf numFmtId="0" fontId="45" fillId="0" borderId="0" applyAlignment="1" pivotButton="0" quotePrefix="0" xfId="0">
      <alignment vertical="top" wrapText="1"/>
    </xf>
    <xf numFmtId="0" fontId="47" fillId="2" borderId="16" applyAlignment="1" pivotButton="0" quotePrefix="0" xfId="0">
      <alignment horizontal="left" vertical="center" wrapText="1" indent="1"/>
    </xf>
    <xf numFmtId="0" fontId="12" fillId="14" borderId="17" applyAlignment="1" pivotButton="0" quotePrefix="0" xfId="0">
      <alignment vertical="center" wrapText="1" indent="1"/>
    </xf>
    <xf numFmtId="0" fontId="48" fillId="0" borderId="0" applyAlignment="1" pivotButton="0" quotePrefix="0" xfId="0">
      <alignment vertical="top" wrapText="1"/>
    </xf>
    <xf numFmtId="0" fontId="2" fillId="0" borderId="0" applyAlignment="1" pivotButton="0" quotePrefix="0" xfId="0">
      <alignment vertical="top" wrapText="1"/>
    </xf>
    <xf numFmtId="0" fontId="1" fillId="0" borderId="0" pivotButton="0" quotePrefix="0" xfId="0"/>
    <xf numFmtId="0" fontId="18" fillId="10" borderId="0" applyAlignment="1" pivotButton="0" quotePrefix="0" xfId="0">
      <alignment horizontal="left" vertical="center" wrapText="1" indent="1"/>
    </xf>
    <xf numFmtId="0" fontId="19" fillId="11" borderId="0" applyAlignment="1" pivotButton="0" quotePrefix="0" xfId="0">
      <alignment horizontal="center" vertical="center" wrapText="1"/>
    </xf>
    <xf numFmtId="0" fontId="0" fillId="11" borderId="0" pivotButton="0" quotePrefix="0" xfId="0"/>
    <xf numFmtId="0" fontId="0" fillId="12" borderId="0" pivotButton="0" quotePrefix="0" xfId="0"/>
    <xf numFmtId="0" fontId="20" fillId="2" borderId="2" applyAlignment="1" pivotButton="0" quotePrefix="0" xfId="0">
      <alignment horizontal="center" vertical="center" wrapText="1"/>
    </xf>
    <xf numFmtId="0" fontId="20" fillId="11" borderId="2" applyAlignment="1" pivotButton="0" quotePrefix="0" xfId="0">
      <alignment horizontal="center" vertical="center" wrapText="1"/>
    </xf>
    <xf numFmtId="0" fontId="20" fillId="12" borderId="2" applyAlignment="1" pivotButton="0" quotePrefix="0" xfId="0">
      <alignment horizontal="center" vertical="center" wrapText="1"/>
    </xf>
    <xf numFmtId="0" fontId="20" fillId="13" borderId="2" applyAlignment="1" pivotButton="0" quotePrefix="0" xfId="0">
      <alignment horizontal="center" vertical="center" wrapText="1"/>
    </xf>
    <xf numFmtId="0" fontId="18" fillId="14" borderId="3" applyAlignment="1" pivotButton="0" quotePrefix="0" xfId="0">
      <alignment vertical="center" indent="1"/>
    </xf>
    <xf numFmtId="0" fontId="0" fillId="14" borderId="3" pivotButton="0" quotePrefix="0" xfId="0"/>
    <xf numFmtId="166" fontId="18" fillId="14" borderId="3" applyAlignment="1" pivotButton="0" quotePrefix="0" xfId="0">
      <alignment horizontal="center" vertical="center" wrapText="1"/>
    </xf>
    <xf numFmtId="0" fontId="21" fillId="0" borderId="1" applyAlignment="1" pivotButton="0" quotePrefix="0" xfId="0">
      <alignment horizontal="center" vertical="center" wrapText="1"/>
    </xf>
    <xf numFmtId="0" fontId="22" fillId="0" borderId="1" applyAlignment="1" pivotButton="0" quotePrefix="0" xfId="0">
      <alignment horizontal="center" vertical="center" wrapText="1"/>
    </xf>
    <xf numFmtId="0" fontId="23" fillId="0" borderId="1" applyAlignment="1" pivotButton="0" quotePrefix="0" xfId="0">
      <alignment horizontal="center" vertical="center" wrapText="1"/>
    </xf>
    <xf numFmtId="0" fontId="24" fillId="0" borderId="1" applyAlignment="1" pivotButton="0" quotePrefix="0" xfId="0">
      <alignment vertical="center" wrapText="1"/>
    </xf>
    <xf numFmtId="0" fontId="22" fillId="0" borderId="1" applyAlignment="1" pivotButton="0" quotePrefix="0" xfId="0">
      <alignment vertical="center" wrapText="1"/>
    </xf>
    <xf numFmtId="0" fontId="23" fillId="0" borderId="1" applyAlignment="1" pivotButton="0" quotePrefix="0" xfId="0">
      <alignment vertical="center" wrapText="1"/>
    </xf>
    <xf numFmtId="0" fontId="13" fillId="9" borderId="1" applyAlignment="1" pivotButton="0" quotePrefix="0" xfId="0">
      <alignment horizontal="center" vertical="center" wrapText="1"/>
    </xf>
    <xf numFmtId="0" fontId="25" fillId="9" borderId="1" applyAlignment="1" pivotButton="0" quotePrefix="0" xfId="0">
      <alignment horizontal="center" vertical="center" wrapText="1"/>
    </xf>
    <xf numFmtId="9" fontId="5" fillId="0" borderId="1" applyAlignment="1" pivotButton="0" quotePrefix="0" xfId="0">
      <alignment horizontal="center" vertical="center" wrapText="1"/>
    </xf>
    <xf numFmtId="164" fontId="25" fillId="9" borderId="1" applyAlignment="1" pivotButton="0" quotePrefix="0" xfId="0">
      <alignment horizontal="center" vertical="center" wrapText="1"/>
    </xf>
    <xf numFmtId="0" fontId="17" fillId="0" borderId="0" pivotButton="0" quotePrefix="0" xfId="0"/>
    <xf numFmtId="0" fontId="3" fillId="2" borderId="0" applyAlignment="1" pivotButton="0" quotePrefix="0" xfId="0">
      <alignment horizontal="left" vertical="center" wrapText="1" indent="1"/>
    </xf>
    <xf numFmtId="0" fontId="3" fillId="2" borderId="0" applyAlignment="1" pivotButton="0" quotePrefix="0" xfId="0">
      <alignment horizontal="center" vertical="center" wrapText="1"/>
    </xf>
    <xf numFmtId="0" fontId="16" fillId="0" borderId="0" pivotButton="0" quotePrefix="0" xfId="0"/>
    <xf numFmtId="0" fontId="4" fillId="3" borderId="1" applyAlignment="1" pivotButton="0" quotePrefix="0" xfId="0">
      <alignment horizontal="left" vertical="center" wrapText="1" indent="1"/>
    </xf>
    <xf numFmtId="0" fontId="7" fillId="4" borderId="1" applyAlignment="1" pivotButton="0" quotePrefix="0" xfId="0">
      <alignment horizontal="left" vertical="center" wrapText="1" indent="1"/>
    </xf>
    <xf numFmtId="0" fontId="8" fillId="5" borderId="1" applyAlignment="1" pivotButton="0" quotePrefix="0" xfId="0">
      <alignment horizontal="left" vertical="center" wrapText="1" indent="1"/>
    </xf>
    <xf numFmtId="0" fontId="9" fillId="6" borderId="1" applyAlignment="1" pivotButton="0" quotePrefix="0" xfId="0">
      <alignment horizontal="left" vertical="center" wrapText="1" indent="1"/>
    </xf>
    <xf numFmtId="0" fontId="10" fillId="7" borderId="1" applyAlignment="1" pivotButton="0" quotePrefix="0" xfId="0">
      <alignment horizontal="left" vertical="center" wrapText="1" indent="1"/>
    </xf>
    <xf numFmtId="0" fontId="11" fillId="8" borderId="1" applyAlignment="1" pivotButton="0" quotePrefix="0" xfId="0">
      <alignment horizontal="left" vertical="center" wrapText="1" indent="1"/>
    </xf>
    <xf numFmtId="0" fontId="5" fillId="0" borderId="1" applyAlignment="1" pivotButton="0" quotePrefix="0" xfId="0">
      <alignment horizontal="center" vertical="center" wrapText="1"/>
    </xf>
    <xf numFmtId="9" fontId="13" fillId="9" borderId="1" applyAlignment="1" pivotButton="0" quotePrefix="0" xfId="0">
      <alignment horizontal="center" vertical="center" wrapText="1"/>
    </xf>
    <xf numFmtId="9" fontId="14" fillId="10" borderId="1" applyAlignment="1" pivotButton="0" quotePrefix="0" xfId="0">
      <alignment horizontal="center" vertical="center" wrapText="1"/>
    </xf>
    <xf numFmtId="0" fontId="15" fillId="0" borderId="1" applyAlignment="1" pivotButton="0" quotePrefix="0" xfId="0">
      <alignment horizontal="center" vertical="center" wrapText="1"/>
    </xf>
    <xf numFmtId="0" fontId="54" fillId="0" borderId="0" pivotButton="0" quotePrefix="0" xfId="0"/>
    <xf numFmtId="0" fontId="94" fillId="0" borderId="0" pivotButton="0" quotePrefix="0" xfId="0"/>
    <xf numFmtId="0" fontId="55" fillId="0" borderId="0" pivotButton="0" quotePrefix="0" xfId="0"/>
    <xf numFmtId="0" fontId="56" fillId="0" borderId="0" pivotButton="0" quotePrefix="0" xfId="0"/>
    <xf numFmtId="0" fontId="81" fillId="0" borderId="0" pivotButton="0" quotePrefix="0" xfId="0"/>
    <xf numFmtId="0" fontId="57" fillId="0" borderId="0" applyAlignment="1" pivotButton="0" quotePrefix="0" xfId="0">
      <alignment vertical="top" wrapText="1"/>
    </xf>
    <xf numFmtId="0" fontId="58" fillId="16" borderId="0" applyAlignment="1" pivotButton="0" quotePrefix="0" xfId="0">
      <alignment horizontal="left" vertical="center" wrapText="1" indent="1"/>
    </xf>
    <xf numFmtId="0" fontId="54" fillId="16" borderId="0" pivotButton="0" quotePrefix="0" xfId="0"/>
    <xf numFmtId="0" fontId="59" fillId="0" borderId="39" applyAlignment="1" pivotButton="0" quotePrefix="0" xfId="0">
      <alignment horizontal="left" vertical="center" wrapText="1" indent="1"/>
    </xf>
    <xf numFmtId="0" fontId="60" fillId="0" borderId="39" applyAlignment="1" pivotButton="0" quotePrefix="0" xfId="0">
      <alignment horizontal="left" vertical="center" wrapText="1" indent="1"/>
    </xf>
    <xf numFmtId="0" fontId="54" fillId="0" borderId="39" pivotButton="0" quotePrefix="0" xfId="0"/>
    <xf numFmtId="0" fontId="60" fillId="0" borderId="0" applyAlignment="1" pivotButton="0" quotePrefix="0" xfId="0">
      <alignment horizontal="left" vertical="center" wrapText="1" indent="1"/>
    </xf>
    <xf numFmtId="0" fontId="61" fillId="17" borderId="40" applyAlignment="1" pivotButton="0" quotePrefix="0" xfId="0">
      <alignment horizontal="left" vertical="center" wrapText="1" indent="1"/>
    </xf>
    <xf numFmtId="0" fontId="62" fillId="18" borderId="40" applyAlignment="1" pivotButton="0" quotePrefix="0" xfId="0">
      <alignment horizontal="left" vertical="center" wrapText="1" indent="1"/>
    </xf>
    <xf numFmtId="0" fontId="62" fillId="19" borderId="40" applyAlignment="1" pivotButton="0" quotePrefix="0" xfId="0">
      <alignment horizontal="left" vertical="center" wrapText="1" indent="1"/>
    </xf>
    <xf numFmtId="0" fontId="63" fillId="20" borderId="39" applyAlignment="1" pivotButton="0" quotePrefix="0" xfId="0">
      <alignment horizontal="left" vertical="center" wrapText="1" indent="1"/>
    </xf>
    <xf numFmtId="0" fontId="64" fillId="17" borderId="39" applyAlignment="1" pivotButton="0" quotePrefix="0" xfId="0">
      <alignment vertical="center" wrapText="1"/>
    </xf>
    <xf numFmtId="0" fontId="65" fillId="21" borderId="39" applyAlignment="1" pivotButton="0" quotePrefix="0" xfId="0">
      <alignment horizontal="center" vertical="center" wrapText="1"/>
    </xf>
    <xf numFmtId="0" fontId="58" fillId="16" borderId="0" applyAlignment="1" pivotButton="0" quotePrefix="0" xfId="0">
      <alignment vertical="center" indent="1"/>
    </xf>
    <xf numFmtId="0" fontId="0" fillId="16" borderId="0" pivotButton="0" quotePrefix="0" xfId="0"/>
    <xf numFmtId="0" fontId="66" fillId="0" borderId="0" pivotButton="0" quotePrefix="0" xfId="0"/>
    <xf numFmtId="0" fontId="81" fillId="0" borderId="0" applyAlignment="1" pivotButton="0" quotePrefix="0" xfId="0">
      <alignment vertical="center"/>
    </xf>
    <xf numFmtId="0" fontId="67" fillId="0" borderId="0" pivotButton="0" quotePrefix="0" xfId="0"/>
    <xf numFmtId="0" fontId="68" fillId="0" borderId="39" applyAlignment="1" pivotButton="0" quotePrefix="0" xfId="0">
      <alignment vertical="center" indent="1"/>
    </xf>
    <xf numFmtId="0" fontId="69" fillId="17" borderId="39" applyAlignment="1" pivotButton="0" quotePrefix="0" xfId="0">
      <alignment vertical="center" wrapText="1" indent="1"/>
    </xf>
    <xf numFmtId="164" fontId="69" fillId="17" borderId="39" applyAlignment="1" pivotButton="0" quotePrefix="0" xfId="0">
      <alignment vertical="center" wrapText="1" indent="1"/>
    </xf>
    <xf numFmtId="0" fontId="63" fillId="0" borderId="0" pivotButton="0" quotePrefix="0" xfId="0"/>
    <xf numFmtId="0" fontId="70" fillId="0" borderId="41" applyAlignment="1" pivotButton="0" quotePrefix="0" xfId="0">
      <alignment horizontal="center" vertical="center" wrapText="1"/>
    </xf>
    <xf numFmtId="0" fontId="54" fillId="0" borderId="42" pivotButton="0" quotePrefix="0" xfId="0"/>
    <xf numFmtId="0" fontId="71" fillId="0" borderId="0" applyAlignment="1" pivotButton="0" quotePrefix="0" xfId="0">
      <alignment vertical="top" wrapText="1"/>
    </xf>
    <xf numFmtId="9" fontId="72" fillId="0" borderId="43" applyAlignment="1" pivotButton="0" quotePrefix="0" xfId="0">
      <alignment horizontal="center" vertical="center" wrapText="1"/>
    </xf>
    <xf numFmtId="0" fontId="54" fillId="0" borderId="44" pivotButton="0" quotePrefix="0" xfId="0"/>
    <xf numFmtId="9" fontId="73" fillId="0" borderId="43" applyAlignment="1" pivotButton="0" quotePrefix="0" xfId="0">
      <alignment horizontal="center" vertical="center" wrapText="1"/>
    </xf>
    <xf numFmtId="1" fontId="74" fillId="0" borderId="43" applyAlignment="1" pivotButton="0" quotePrefix="0" xfId="0">
      <alignment horizontal="center" vertical="center" wrapText="1"/>
    </xf>
    <xf numFmtId="1" fontId="75" fillId="0" borderId="43" applyAlignment="1" pivotButton="0" quotePrefix="0" xfId="0">
      <alignment horizontal="center" vertical="center" wrapText="1"/>
    </xf>
    <xf numFmtId="0" fontId="54" fillId="0" borderId="45" pivotButton="0" quotePrefix="0" xfId="0"/>
    <xf numFmtId="0" fontId="76" fillId="0" borderId="46" applyAlignment="1" pivotButton="0" quotePrefix="0" xfId="0">
      <alignment horizontal="center" vertical="center" wrapText="1"/>
    </xf>
    <xf numFmtId="0" fontId="54" fillId="0" borderId="47" pivotButton="0" quotePrefix="0" xfId="0"/>
    <xf numFmtId="0" fontId="63" fillId="0" borderId="0" applyAlignment="1" pivotButton="0" quotePrefix="0" xfId="0">
      <alignment vertical="center"/>
    </xf>
    <xf numFmtId="0" fontId="77" fillId="0" borderId="0" pivotButton="0" quotePrefix="0" xfId="0"/>
    <xf numFmtId="0" fontId="58" fillId="16" borderId="0" applyAlignment="1" pivotButton="0" quotePrefix="0" xfId="0">
      <alignment horizontal="center" vertical="center" wrapText="1"/>
    </xf>
    <xf numFmtId="0" fontId="57" fillId="0" borderId="39" applyAlignment="1" pivotButton="0" quotePrefix="0" xfId="0">
      <alignment horizontal="center" vertical="center" wrapText="1"/>
    </xf>
    <xf numFmtId="9" fontId="57" fillId="0" borderId="39" applyAlignment="1" pivotButton="0" quotePrefix="0" xfId="0">
      <alignment horizontal="center" vertical="center" wrapText="1"/>
    </xf>
    <xf numFmtId="0" fontId="78" fillId="0" borderId="39" applyAlignment="1" pivotButton="0" quotePrefix="0" xfId="0">
      <alignment horizontal="center" vertical="center" wrapText="1"/>
    </xf>
    <xf numFmtId="0" fontId="60" fillId="20" borderId="39" applyAlignment="1" pivotButton="0" quotePrefix="0" xfId="0">
      <alignment horizontal="left" vertical="center" wrapText="1" indent="1"/>
    </xf>
    <xf numFmtId="0" fontId="57" fillId="20" borderId="39" applyAlignment="1" pivotButton="0" quotePrefix="0" xfId="0">
      <alignment horizontal="center" vertical="center" wrapText="1"/>
    </xf>
    <xf numFmtId="9" fontId="57" fillId="20" borderId="39" applyAlignment="1" pivotButton="0" quotePrefix="0" xfId="0">
      <alignment horizontal="center" vertical="center" wrapText="1"/>
    </xf>
    <xf numFmtId="0" fontId="78" fillId="20" borderId="39" applyAlignment="1" pivotButton="0" quotePrefix="0" xfId="0">
      <alignment horizontal="center" vertical="center" wrapText="1"/>
    </xf>
    <xf numFmtId="0" fontId="79" fillId="18" borderId="48" applyAlignment="1" pivotButton="0" quotePrefix="0" xfId="0">
      <alignment horizontal="left" vertical="center" wrapText="1" indent="1"/>
    </xf>
    <xf numFmtId="0" fontId="79" fillId="18" borderId="48" applyAlignment="1" pivotButton="0" quotePrefix="0" xfId="0">
      <alignment horizontal="center" vertical="center" wrapText="1"/>
    </xf>
    <xf numFmtId="165" fontId="79" fillId="18" borderId="48" applyAlignment="1" pivotButton="0" quotePrefix="0" xfId="0">
      <alignment horizontal="center" vertical="center" wrapText="1"/>
    </xf>
    <xf numFmtId="0" fontId="80" fillId="0" borderId="0" pivotButton="0" quotePrefix="0" xfId="0"/>
    <xf numFmtId="0" fontId="58" fillId="22" borderId="0" applyAlignment="1" pivotButton="0" quotePrefix="0" xfId="0">
      <alignment horizontal="left" vertical="center" wrapText="1" indent="1"/>
    </xf>
    <xf numFmtId="0" fontId="58" fillId="22" borderId="0" applyAlignment="1" pivotButton="0" quotePrefix="0" xfId="0">
      <alignment horizontal="center" vertical="center" wrapText="1"/>
    </xf>
    <xf numFmtId="0" fontId="82" fillId="17" borderId="39" applyAlignment="1" pivotButton="0" quotePrefix="0" xfId="0">
      <alignment horizontal="left" vertical="center" wrapText="1" indent="1"/>
    </xf>
    <xf numFmtId="0" fontId="83" fillId="0" borderId="39" applyAlignment="1" pivotButton="0" quotePrefix="0" xfId="0">
      <alignment horizontal="left" vertical="center" wrapText="1" indent="1"/>
    </xf>
    <xf numFmtId="3" fontId="84" fillId="0" borderId="39" applyAlignment="1" pivotButton="0" quotePrefix="0" xfId="0">
      <alignment horizontal="center" vertical="center" wrapText="1"/>
    </xf>
    <xf numFmtId="0" fontId="76" fillId="0" borderId="39" applyAlignment="1" pivotButton="0" quotePrefix="0" xfId="0">
      <alignment horizontal="center" vertical="center" wrapText="1"/>
    </xf>
    <xf numFmtId="3" fontId="82" fillId="17" borderId="39" applyAlignment="1" pivotButton="0" quotePrefix="0" xfId="0">
      <alignment horizontal="right" vertical="center" wrapText="1" indent="1"/>
    </xf>
    <xf numFmtId="0" fontId="85" fillId="0" borderId="0" pivotButton="0" quotePrefix="0" xfId="0"/>
    <xf numFmtId="0" fontId="86" fillId="0" borderId="39" applyAlignment="1" pivotButton="0" quotePrefix="0" xfId="0">
      <alignment horizontal="center" vertical="center" wrapText="1"/>
    </xf>
    <xf numFmtId="0" fontId="87" fillId="0" borderId="39" applyAlignment="1" pivotButton="0" quotePrefix="0" xfId="0">
      <alignment horizontal="center" vertical="center" wrapText="1"/>
    </xf>
    <xf numFmtId="3" fontId="79" fillId="0" borderId="39" applyAlignment="1" pivotButton="0" quotePrefix="0" xfId="0">
      <alignment horizontal="right" vertical="center" indent="1"/>
    </xf>
    <xf numFmtId="0" fontId="68" fillId="0" borderId="39" applyAlignment="1" pivotButton="0" quotePrefix="0" xfId="0">
      <alignment horizontal="center" vertical="center" wrapText="1"/>
    </xf>
    <xf numFmtId="0" fontId="88" fillId="0" borderId="0" applyAlignment="1" pivotButton="0" quotePrefix="0" xfId="0">
      <alignment vertical="top" wrapText="1"/>
    </xf>
    <xf numFmtId="0" fontId="89" fillId="16" borderId="49" applyAlignment="1" pivotButton="0" quotePrefix="0" xfId="0">
      <alignment horizontal="left" vertical="center" wrapText="1" indent="1"/>
    </xf>
    <xf numFmtId="0" fontId="77" fillId="18" borderId="50" applyAlignment="1" pivotButton="0" quotePrefix="0" xfId="0">
      <alignment vertical="center" wrapText="1" indent="1"/>
    </xf>
    <xf numFmtId="0" fontId="90" fillId="0" borderId="0" applyAlignment="1" pivotButton="0" quotePrefix="0" xfId="0">
      <alignment vertical="top" wrapText="1"/>
    </xf>
    <xf numFmtId="0" fontId="81" fillId="0" borderId="0" applyAlignment="1" pivotButton="0" quotePrefix="0" xfId="0">
      <alignment vertical="top" wrapText="1"/>
    </xf>
    <xf numFmtId="0" fontId="91" fillId="0" borderId="0" pivotButton="0" quotePrefix="0" xfId="0"/>
    <xf numFmtId="0" fontId="92" fillId="20" borderId="0" applyAlignment="1" pivotButton="0" quotePrefix="0" xfId="0">
      <alignment horizontal="left" vertical="center" wrapText="1" indent="1"/>
    </xf>
    <xf numFmtId="0" fontId="58" fillId="23" borderId="0" applyAlignment="1" pivotButton="0" quotePrefix="0" xfId="0">
      <alignment horizontal="center" vertical="center" wrapText="1"/>
    </xf>
    <xf numFmtId="0" fontId="93" fillId="16" borderId="51" applyAlignment="1" pivotButton="0" quotePrefix="0" xfId="0">
      <alignment horizontal="center" vertical="center" wrapText="1"/>
    </xf>
    <xf numFmtId="0" fontId="93" fillId="23" borderId="51" applyAlignment="1" pivotButton="0" quotePrefix="0" xfId="0">
      <alignment horizontal="center" vertical="center" wrapText="1"/>
    </xf>
    <xf numFmtId="0" fontId="93" fillId="22" borderId="51" applyAlignment="1" pivotButton="0" quotePrefix="0" xfId="0">
      <alignment horizontal="center" vertical="center" wrapText="1"/>
    </xf>
    <xf numFmtId="0" fontId="93" fillId="24" borderId="51" applyAlignment="1" pivotButton="0" quotePrefix="0" xfId="0">
      <alignment horizontal="center" vertical="center" wrapText="1"/>
    </xf>
    <xf numFmtId="0" fontId="92" fillId="18" borderId="48" applyAlignment="1" pivotButton="0" quotePrefix="0" xfId="0">
      <alignment vertical="center" indent="1"/>
    </xf>
    <xf numFmtId="0" fontId="54" fillId="0" borderId="48" pivotButton="0" quotePrefix="0" xfId="0"/>
    <xf numFmtId="0" fontId="54" fillId="18" borderId="48" pivotButton="0" quotePrefix="0" xfId="0"/>
    <xf numFmtId="166" fontId="92" fillId="18" borderId="48" applyAlignment="1" pivotButton="0" quotePrefix="0" xfId="0">
      <alignment horizontal="center" vertical="center" wrapText="1"/>
    </xf>
    <xf numFmtId="0" fontId="105" fillId="0" borderId="39" applyAlignment="1" pivotButton="0" quotePrefix="0" xfId="0">
      <alignment horizontal="center" vertical="center" wrapText="1"/>
    </xf>
    <xf numFmtId="0" fontId="83" fillId="0" borderId="39" applyAlignment="1" pivotButton="0" quotePrefix="0" xfId="0">
      <alignment horizontal="center" vertical="center" wrapText="1"/>
    </xf>
    <xf numFmtId="0" fontId="106" fillId="0" borderId="39" applyAlignment="1" pivotButton="0" quotePrefix="0" xfId="0">
      <alignment horizontal="center" vertical="center" wrapText="1"/>
    </xf>
    <xf numFmtId="0" fontId="71" fillId="0" borderId="39" applyAlignment="1" pivotButton="0" quotePrefix="0" xfId="0">
      <alignment horizontal="center" vertical="center" wrapText="1"/>
    </xf>
    <xf numFmtId="0" fontId="57" fillId="0" borderId="39" applyAlignment="1" pivotButton="0" quotePrefix="0" xfId="0">
      <alignment vertical="center" wrapText="1"/>
    </xf>
    <xf numFmtId="0" fontId="83" fillId="0" borderId="39" applyAlignment="1" pivotButton="0" quotePrefix="0" xfId="0">
      <alignment vertical="center" wrapText="1"/>
    </xf>
    <xf numFmtId="0" fontId="71" fillId="0" borderId="39" applyAlignment="1" pivotButton="0" quotePrefix="0" xfId="0">
      <alignment vertical="center" wrapText="1"/>
    </xf>
    <xf numFmtId="0" fontId="82" fillId="17" borderId="39" applyAlignment="1" pivotButton="0" quotePrefix="0" xfId="0">
      <alignment horizontal="center" vertical="center" wrapText="1"/>
    </xf>
    <xf numFmtId="0" fontId="64" fillId="17" borderId="39" applyAlignment="1" pivotButton="0" quotePrefix="0" xfId="0">
      <alignment horizontal="center" vertical="center" wrapText="1"/>
    </xf>
    <xf numFmtId="9" fontId="79" fillId="0" borderId="39" applyAlignment="1" pivotButton="0" quotePrefix="0" xfId="0">
      <alignment horizontal="center" vertical="center" wrapText="1"/>
    </xf>
    <xf numFmtId="164" fontId="64" fillId="17" borderId="39" applyAlignment="1" pivotButton="0" quotePrefix="0" xfId="0">
      <alignment horizontal="center" vertical="center" wrapText="1"/>
    </xf>
    <xf numFmtId="0" fontId="95" fillId="0" borderId="0" pivotButton="0" quotePrefix="0" xfId="0"/>
    <xf numFmtId="0" fontId="96" fillId="16" borderId="0" applyAlignment="1" pivotButton="0" quotePrefix="0" xfId="0">
      <alignment horizontal="left" vertical="center" wrapText="1" indent="1"/>
    </xf>
    <xf numFmtId="0" fontId="96" fillId="16" borderId="0" applyAlignment="1" pivotButton="0" quotePrefix="0" xfId="0">
      <alignment horizontal="center" vertical="center" wrapText="1"/>
    </xf>
    <xf numFmtId="0" fontId="97" fillId="0" borderId="0" pivotButton="0" quotePrefix="0" xfId="0"/>
    <xf numFmtId="0" fontId="98" fillId="25" borderId="39" applyAlignment="1" pivotButton="0" quotePrefix="0" xfId="0">
      <alignment horizontal="left" vertical="center" wrapText="1" indent="1"/>
    </xf>
    <xf numFmtId="0" fontId="99" fillId="26" borderId="39" applyAlignment="1" pivotButton="0" quotePrefix="0" xfId="0">
      <alignment horizontal="left" vertical="center" wrapText="1" indent="1"/>
    </xf>
    <xf numFmtId="0" fontId="100" fillId="21" borderId="39" applyAlignment="1" pivotButton="0" quotePrefix="0" xfId="0">
      <alignment horizontal="left" vertical="center" wrapText="1" indent="1"/>
    </xf>
    <xf numFmtId="0" fontId="101" fillId="27" borderId="39" applyAlignment="1" pivotButton="0" quotePrefix="0" xfId="0">
      <alignment horizontal="left" vertical="center" wrapText="1" indent="1"/>
    </xf>
    <xf numFmtId="0" fontId="59" fillId="28" borderId="39" applyAlignment="1" pivotButton="0" quotePrefix="0" xfId="0">
      <alignment horizontal="left" vertical="center" wrapText="1" indent="1"/>
    </xf>
    <xf numFmtId="0" fontId="102" fillId="18" borderId="39" applyAlignment="1" pivotButton="0" quotePrefix="0" xfId="0">
      <alignment horizontal="left" vertical="center" wrapText="1" indent="1"/>
    </xf>
    <xf numFmtId="0" fontId="79" fillId="0" borderId="39" applyAlignment="1" pivotButton="0" quotePrefix="0" xfId="0">
      <alignment horizontal="center" vertical="center" wrapText="1"/>
    </xf>
    <xf numFmtId="9" fontId="82" fillId="17" borderId="39" applyAlignment="1" pivotButton="0" quotePrefix="0" xfId="0">
      <alignment horizontal="center" vertical="center" wrapText="1"/>
    </xf>
    <xf numFmtId="9" fontId="103" fillId="20" borderId="39" applyAlignment="1" pivotButton="0" quotePrefix="0" xfId="0">
      <alignment horizontal="center" vertical="center" wrapText="1"/>
    </xf>
    <xf numFmtId="0" fontId="104" fillId="0" borderId="39" applyAlignment="1" pivotButton="0" quotePrefix="0" xfId="0">
      <alignment horizontal="center" vertical="center" wrapText="1"/>
    </xf>
  </cellXfs>
  <cellStyles count="1">
    <cellStyle name="Normal" xfId="0" builtinId="0" hidden="0"/>
  </cellStyles>
  <dxfs count="16">
    <dxf>
      <font>
        <name val="Arial"/>
        <b val="1"/>
        <color rgb="FF3D6B47"/>
      </font>
      <fill>
        <patternFill patternType="solid">
          <fgColor rgb="FFDCE7D8"/>
          <bgColor rgb="FFDCE7D8"/>
        </patternFill>
      </fill>
    </dxf>
    <dxf>
      <font>
        <name val="Arial"/>
        <b val="1"/>
        <color rgb="FF7A5A0F"/>
      </font>
      <fill>
        <patternFill patternType="solid">
          <fgColor rgb="FFF6EAC2"/>
          <bgColor rgb="FFF6EAC2"/>
        </patternFill>
      </fill>
    </dxf>
    <dxf>
      <font>
        <name val="Arial"/>
        <b val="1"/>
        <color rgb="FF8A4B0F"/>
      </font>
      <fill>
        <patternFill patternType="solid">
          <fgColor rgb="FFF3DDC8"/>
          <bgColor rgb="FFF3DDC8"/>
        </patternFill>
      </fill>
    </dxf>
    <dxf>
      <font>
        <name val="Arial"/>
        <b val="1"/>
        <color rgb="FFA12B22"/>
      </font>
      <fill>
        <patternFill patternType="solid">
          <fgColor rgb="FFF2D7D1"/>
          <bgColor rgb="FFF2D7D1"/>
        </patternFill>
      </fill>
    </dxf>
    <dxf>
      <font>
        <name val="Arial"/>
        <b val="1"/>
        <color rgb="FF3D6B47"/>
      </font>
    </dxf>
    <dxf>
      <font>
        <name val="Arial"/>
        <b val="1"/>
        <color rgb="FF7A5A0F"/>
      </font>
    </dxf>
    <dxf>
      <font>
        <name val="Arial"/>
        <b val="1"/>
        <color rgb="FF8A4B0F"/>
      </font>
    </dxf>
    <dxf>
      <font>
        <name val="Arial"/>
        <b val="1"/>
        <color rgb="FFA12B22"/>
      </font>
    </dxf>
    <dxf>
      <font>
        <name val="Arial"/>
        <b val="1"/>
        <color rgb="FFA12B22"/>
        <sz val="9"/>
      </font>
      <fill>
        <patternFill patternType="solid">
          <fgColor rgb="FFF2D7D1"/>
          <bgColor rgb="FFF2D7D1"/>
        </patternFill>
      </fill>
    </dxf>
    <dxf>
      <font>
        <name val="Arial"/>
        <b val="1"/>
        <color rgb="FF8A4B0F"/>
        <sz val="9"/>
      </font>
      <fill>
        <patternFill patternType="solid">
          <fgColor rgb="FFF3DDC8"/>
          <bgColor rgb="FFF3DDC8"/>
        </patternFill>
      </fill>
    </dxf>
    <dxf>
      <font>
        <name val="Arial"/>
        <b val="1"/>
        <color rgb="FF3D6B47"/>
        <sz val="9"/>
      </font>
      <fill>
        <patternFill patternType="solid">
          <fgColor rgb="FFDCE7D8"/>
          <bgColor rgb="FFDCE7D8"/>
        </patternFill>
      </fill>
    </dxf>
    <dxf>
      <font>
        <name val="Arial"/>
        <b val="1"/>
        <color rgb="FF7A5A0F"/>
        <sz val="9"/>
      </font>
      <fill>
        <patternFill patternType="solid">
          <fgColor rgb="FFF6EAC2"/>
          <bgColor rgb="FFF6EAC2"/>
        </patternFill>
      </fill>
    </dxf>
    <dxf>
      <font>
        <name val="Arial"/>
        <b val="1"/>
        <color rgb="FF57534A"/>
        <sz val="9"/>
      </font>
      <fill>
        <patternFill patternType="solid">
          <fgColor rgb="FFEBE4D5"/>
          <bgColor rgb="FFEBE4D5"/>
        </patternFill>
      </fill>
    </dxf>
    <dxf>
      <font>
        <name val="Arial"/>
        <b val="1"/>
        <color rgb="FF4F6B2A"/>
        <sz val="9"/>
      </font>
      <fill>
        <patternFill patternType="solid">
          <fgColor rgb="FFE7ECD8"/>
          <bgColor rgb="FFE7ECD8"/>
        </patternFill>
      </fill>
    </dxf>
    <dxf>
      <font>
        <name val="Arial"/>
        <b val="1"/>
        <color rgb="FF857F72"/>
        <sz val="9"/>
      </font>
      <fill>
        <patternFill patternType="solid">
          <fgColor rgb="FFEBE4D5"/>
          <bgColor rgb="FFEBE4D5"/>
        </patternFill>
      </fill>
    </dxf>
    <dxf>
      <font>
        <name val="Arial"/>
        <color rgb="FFA39C8D"/>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style val="2"/>
  <chart>
    <title>
      <tx>
        <rich>
          <a:bodyPr xmlns:a="http://schemas.openxmlformats.org/drawingml/2006/main"/>
          <a:p xmlns:a="http://schemas.openxmlformats.org/drawingml/2006/main">
            <a:pPr>
              <a:defRPr/>
            </a:pPr>
            <a:r>
              <a:t>% por componente · Sistema</a:t>
            </a:r>
          </a:p>
        </rich>
      </tx>
    </title>
    <plotArea>
      <barChart>
        <barDir val="bar"/>
        <grouping val="clustered"/>
        <ser>
          <idx val="0"/>
          <order val="0"/>
          <tx>
            <strRef>
              <f>'Tablero'!F19</f>
            </strRef>
          </tx>
          <spPr>
            <a:solidFill xmlns:a="http://schemas.openxmlformats.org/drawingml/2006/main">
              <a:srgbClr val="A12B22"/>
            </a:solidFill>
            <a:ln xmlns:a="http://schemas.openxmlformats.org/drawingml/2006/main">
              <a:solidFill>
                <a:srgbClr val="A12B22"/>
              </a:solidFill>
              <a:prstDash val="solid"/>
            </a:ln>
          </spPr>
          <cat>
            <numRef>
              <f>'Tablero'!$B$20:$B$34</f>
            </numRef>
          </cat>
          <val>
            <numRef>
              <f>'Tablero'!$F$20:$F$34</f>
            </numRef>
          </val>
        </ser>
        <dLbls>
          <numFmt formatCode="0%"/>
          <showLegendKey val="0"/>
          <showVal val="1"/>
          <showCatName val="0"/>
          <showSerName val="0"/>
          <showPercent val="0"/>
        </dLbls>
        <gapWidth val="60"/>
        <axId val="10"/>
        <axId val="100"/>
      </barChart>
      <catAx>
        <axId val="10"/>
        <scaling>
          <orientation val="maxMin"/>
        </scaling>
        <delete val="0"/>
        <axPos val="l"/>
        <majorTickMark val="none"/>
        <minorTickMark val="none"/>
        <crossAx val="100"/>
        <lblOffset val="100"/>
      </catAx>
      <valAx>
        <axId val="100"/>
        <scaling>
          <orientation val="minMax"/>
          <max val="1"/>
          <min val="0"/>
        </scaling>
        <delete val="0"/>
        <axPos val="l"/>
        <majorGridlines>
          <spPr>
            <a:ln xmlns:a="http://schemas.openxmlformats.org/drawingml/2006/main">
              <a:solidFill>
                <a:srgbClr val="D3CAB7"/>
              </a:solidFill>
              <a:prstDash val="solid"/>
            </a:ln>
          </spPr>
        </majorGridlines>
        <numFmt formatCode="0%" sourceLinked="0"/>
        <majorTickMark val="none"/>
        <minorTickMark val="none"/>
        <crossAx val="10"/>
        <majorUnit val="0.25"/>
      </valAx>
    </plotArea>
    <plotVisOnly val="1"/>
    <dispBlanksAs val="gap"/>
  </chart>
</chartSpace>
</file>

<file path=xl/charts/chart2.xml><?xml version="1.0" encoding="utf-8"?>
<chartSpace xmlns="http://schemas.openxmlformats.org/drawingml/2006/chart">
  <style val="2"/>
  <chart>
    <title>
      <tx>
        <rich>
          <a:bodyPr xmlns:a="http://schemas.openxmlformats.org/drawingml/2006/main"/>
          <a:p xmlns:a="http://schemas.openxmlformats.org/drawingml/2006/main">
            <a:pPr>
              <a:defRPr/>
            </a:pPr>
            <a:r>
              <a:t>% por componente · RMM</a:t>
            </a:r>
          </a:p>
        </rich>
      </tx>
    </title>
    <plotArea>
      <barChart>
        <barDir val="bar"/>
        <grouping val="clustered"/>
        <ser>
          <idx val="0"/>
          <order val="0"/>
          <tx>
            <strRef>
              <f>'Tablero'!F40</f>
            </strRef>
          </tx>
          <spPr>
            <a:solidFill xmlns:a="http://schemas.openxmlformats.org/drawingml/2006/main">
              <a:srgbClr val="A12B22"/>
            </a:solidFill>
            <a:ln xmlns:a="http://schemas.openxmlformats.org/drawingml/2006/main">
              <a:solidFill>
                <a:srgbClr val="A12B22"/>
              </a:solidFill>
              <a:prstDash val="solid"/>
            </a:ln>
          </spPr>
          <cat>
            <numRef>
              <f>'Tablero'!$B$41:$B$47</f>
            </numRef>
          </cat>
          <val>
            <numRef>
              <f>'Tablero'!$F$41:$F$47</f>
            </numRef>
          </val>
        </ser>
        <dLbls>
          <numFmt formatCode="0%"/>
          <showLegendKey val="0"/>
          <showVal val="1"/>
          <showCatName val="0"/>
          <showSerName val="0"/>
          <showPercent val="0"/>
        </dLbls>
        <gapWidth val="60"/>
        <axId val="10"/>
        <axId val="100"/>
      </barChart>
      <catAx>
        <axId val="10"/>
        <scaling>
          <orientation val="maxMin"/>
        </scaling>
        <delete val="0"/>
        <axPos val="l"/>
        <majorTickMark val="none"/>
        <minorTickMark val="none"/>
        <crossAx val="100"/>
        <lblOffset val="100"/>
      </catAx>
      <valAx>
        <axId val="100"/>
        <scaling>
          <orientation val="minMax"/>
          <max val="1"/>
          <min val="0"/>
        </scaling>
        <delete val="0"/>
        <axPos val="l"/>
        <majorGridlines>
          <spPr>
            <a:ln xmlns:a="http://schemas.openxmlformats.org/drawingml/2006/main">
              <a:solidFill>
                <a:srgbClr val="D3CAB7"/>
              </a:solidFill>
              <a:prstDash val="solid"/>
            </a:ln>
          </spPr>
        </majorGridlines>
        <numFmt formatCode="0%" sourceLinked="0"/>
        <majorTickMark val="none"/>
        <minorTickMark val="none"/>
        <crossAx val="10"/>
        <majorUnit val="0.25"/>
      </valAx>
    </plotArea>
    <plotVisOnly val="1"/>
    <dispBlanksAs val="gap"/>
  </chart>
</chartSpace>
</file>

<file path=xl/comments/comment1.xml><?xml version="1.0" encoding="utf-8"?>
<comments xmlns="http://schemas.openxmlformats.org/spreadsheetml/2006/main">
  <authors>
    <author>Criterio Compliance</author>
  </authors>
  <commentList>
    <comment ref="H6" authorId="0" shapeId="0">
      <text>
        <t>0 = recomendación (no suma al %), 1 = complementario, 2 = importante, 3 = crítico. Ver hoja 'Escala'.</t>
      </text>
    </comment>
    <comment ref="I6" authorId="0" shapeId="0">
      <text>
        <t>Seleccione un estado de la lista. 'No aplica' excluye el requisito del cálculo.</t>
      </text>
    </comment>
    <comment ref="O6" authorId="0" shapeId="0">
      <text>
        <t>Rojo: fecha vencida y acción no cerrada. Naranja: fecha posterior al 31/05/2027 (plazo de transición).</t>
      </text>
    </comment>
  </commentList>
</comments>
</file>

<file path=xl/comments/comment2.xml><?xml version="1.0" encoding="utf-8"?>
<comments xmlns="http://schemas.openxmlformats.org/spreadsheetml/2006/main">
  <authors>
    <author>Criterio Compliance</author>
  </authors>
  <commentList>
    <comment ref="H6" authorId="0" shapeId="0">
      <text>
        <t>0 = recomendación (no suma al %), 1 = complementario, 2 = importante, 3 = crítico. Ver hoja 'Escala'.</t>
      </text>
    </comment>
    <comment ref="I6" authorId="0" shapeId="0">
      <text>
        <t>Seleccione un estado de la lista. 'No aplica' excluye el requisito del cálculo.</t>
      </text>
    </comment>
    <comment ref="O6" authorId="0" shapeId="0">
      <text>
        <t>Rojo: fecha vencida y acción no cerrada. Naranja: fecha posterior al 31/05/2027 (plazo de transición).</t>
      </text>
    </comment>
  </commentList>
</comments>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14</col>
      <colOff>0</colOff>
      <row>17</row>
      <rowOff>0</rowOff>
    </from>
    <ext cx="7200000" cy="4248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14</col>
      <colOff>0</colOff>
      <row>38</row>
      <rowOff>0</rowOff>
    </from>
    <ext cx="7200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Tablero'!A1" TargetMode="External" Id="rId1"/><Relationship Type="http://schemas.openxmlformats.org/officeDocument/2006/relationships/hyperlink" Target="#'&#193;mbito de aplicaci&#243;n'!A1" TargetMode="External" Id="rId2"/><Relationship Type="http://schemas.openxmlformats.org/officeDocument/2006/relationships/hyperlink" Target="#'Matriz Sistema'!A1" TargetMode="External" Id="rId3"/><Relationship Type="http://schemas.openxmlformats.org/officeDocument/2006/relationships/hyperlink" Target="#'Matriz RMM'!A1" TargetMode="External" Id="rId4"/><Relationship Type="http://schemas.openxmlformats.org/officeDocument/2006/relationships/hyperlink" Target="#'Escala'!A1" TargetMode="External" Id="rId5"/></Relationships>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5.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tabColor rgb="00A12B22"/>
    <outlinePr summaryBelow="1" summaryRight="1"/>
    <pageSetUpPr fitToPage="1"/>
  </sheetPr>
  <dimension ref="A1:F45"/>
  <sheetViews>
    <sheetView showGridLines="0" workbookViewId="0">
      <selection activeCell="A1" sqref="A1"/>
    </sheetView>
  </sheetViews>
  <sheetFormatPr baseColWidth="8" defaultRowHeight="15"/>
  <cols>
    <col width="2" customWidth="1" min="1" max="1"/>
    <col width="34" customWidth="1" min="2" max="2"/>
    <col width="26" customWidth="1" min="3" max="3"/>
    <col width="32" customWidth="1" min="4" max="4"/>
    <col width="32" customWidth="1" min="5" max="5"/>
    <col width="40" customWidth="1" min="6" max="6"/>
  </cols>
  <sheetData>
    <row r="1" ht="20" customHeight="1">
      <c r="A1" s="108" t="n"/>
      <c r="B1" s="109" t="inlineStr">
        <is>
          <t>CRITERIO COMPLIANCE  ·  criteriocompliance.com</t>
        </is>
      </c>
      <c r="C1" s="108" t="n"/>
      <c r="D1" s="108" t="n"/>
      <c r="E1" s="108" t="n"/>
      <c r="F1" s="108" t="n"/>
    </row>
    <row r="2">
      <c r="A2" s="108" t="n"/>
      <c r="B2" s="110" t="inlineStr">
        <is>
          <t>Matriz de cumplimiento · Capítulo IX de la Circular Básica Jurídica</t>
        </is>
      </c>
      <c r="C2" s="108" t="n"/>
      <c r="D2" s="108" t="n"/>
      <c r="E2" s="108" t="n"/>
      <c r="F2" s="108" t="n"/>
    </row>
    <row r="3">
      <c r="A3" s="108" t="n"/>
      <c r="B3" s="111" t="inlineStr">
        <is>
          <t>Sistema de Autocontrol y Gestión de Riesgos LA/FT/FP y C/ST · Circular Externa 100-000020 del 2 de julio de 2026 · Supersociedades</t>
        </is>
      </c>
      <c r="C3" s="108" t="n"/>
      <c r="D3" s="108" t="n"/>
      <c r="E3" s="108" t="n"/>
      <c r="F3" s="108" t="n"/>
    </row>
    <row r="4">
      <c r="A4" s="108" t="n"/>
      <c r="B4" s="112" t="inlineStr">
        <is>
          <t>Herramienta orientativa de autodiagnóstico. No reemplaza la asesoría de un profesional ni constituye una certificación de cumplimiento.</t>
        </is>
      </c>
    </row>
    <row r="5" ht="42" customHeight="1">
      <c r="A5" s="108" t="n"/>
      <c r="B5" s="113" t="inlineStr">
        <is>
          <t>La Circular 100-000020 de 2026 deroga el SAGRILAFT (CE 100-000016/2020) y el PTEE (CE 100-000011/2021) y los unifica en un solo Sistema (Capítulo IX, págs. 155-207). Este libro convierte cada obligación en un requisito medible: qué exige, dónde lo dice y cómo se demuestra.</t>
        </is>
      </c>
      <c r="C5" s="108" t="n"/>
      <c r="D5" s="108" t="n"/>
      <c r="E5" s="108" t="n"/>
      <c r="F5" s="108" t="n"/>
    </row>
    <row r="6">
      <c r="A6" s="108" t="n"/>
      <c r="B6" s="108" t="n"/>
      <c r="C6" s="108" t="n"/>
      <c r="D6" s="108" t="n"/>
      <c r="E6" s="108" t="n"/>
      <c r="F6" s="108" t="n"/>
    </row>
    <row r="7" ht="22" customHeight="1">
      <c r="A7" s="108" t="n"/>
      <c r="B7" s="114" t="inlineStr">
        <is>
          <t>MAPA DEL LIBRO</t>
        </is>
      </c>
      <c r="C7" s="115" t="n"/>
      <c r="D7" s="115" t="n"/>
      <c r="E7" s="115" t="n"/>
      <c r="F7" s="115" t="n"/>
    </row>
    <row r="8" ht="22" customHeight="1">
      <c r="A8" s="108" t="n"/>
      <c r="B8" s="116" t="inlineStr">
        <is>
          <t>Tablero</t>
        </is>
      </c>
      <c r="C8" s="117" t="inlineStr">
        <is>
          <t>Resumen: % global, semáforo, avance y resultados por componente con gráfico.</t>
        </is>
      </c>
      <c r="D8" s="118" t="n"/>
      <c r="E8" s="118" t="n"/>
      <c r="F8" s="118" t="n"/>
    </row>
    <row r="9" ht="22" customHeight="1">
      <c r="A9" s="108" t="n"/>
      <c r="B9" s="116" t="inlineStr">
        <is>
          <t>Ámbito de aplicación</t>
        </is>
      </c>
      <c r="C9" s="117" t="inlineStr">
        <is>
          <t>Paso 1. Confirma si a la empresa le aplica el Sistema completo, el RMM o ninguno.</t>
        </is>
      </c>
      <c r="D9" s="118" t="n"/>
      <c r="E9" s="118" t="n"/>
      <c r="F9" s="118" t="n"/>
    </row>
    <row r="10" ht="22" customHeight="1">
      <c r="A10" s="108" t="n"/>
      <c r="B10" s="116" t="inlineStr">
        <is>
          <t>Matriz Sistema</t>
        </is>
      </c>
      <c r="C10" s="117" t="inlineStr">
        <is>
          <t>Paso 2. 115 requisitos del régimen general, agrupados en 15 componentes.</t>
        </is>
      </c>
      <c r="D10" s="118" t="n"/>
      <c r="E10" s="118" t="n"/>
      <c r="F10" s="118" t="n"/>
    </row>
    <row r="11" ht="22" customHeight="1">
      <c r="A11" s="108" t="n"/>
      <c r="B11" s="116" t="inlineStr">
        <is>
          <t>Matriz RMM</t>
        </is>
      </c>
      <c r="C11" s="117" t="inlineStr">
        <is>
          <t>Paso 2 (alternativo). 22 requisitos del Régimen de Medidas Mínimas.</t>
        </is>
      </c>
      <c r="D11" s="118" t="n"/>
      <c r="E11" s="118" t="n"/>
      <c r="F11" s="118" t="n"/>
    </row>
    <row r="12" ht="22" customHeight="1">
      <c r="A12" s="108" t="n"/>
      <c r="B12" s="116" t="inlineStr">
        <is>
          <t>Escala</t>
        </is>
      </c>
      <c r="C12" s="117" t="inlineStr">
        <is>
          <t>Valores de cada estado, umbrales del semáforo y significado de los pesos.</t>
        </is>
      </c>
      <c r="D12" s="118" t="n"/>
      <c r="E12" s="118" t="n"/>
      <c r="F12" s="118" t="n"/>
    </row>
    <row r="13">
      <c r="A13" s="108" t="n"/>
      <c r="B13" s="108" t="n"/>
      <c r="C13" s="108" t="n"/>
      <c r="D13" s="108" t="n"/>
      <c r="E13" s="108" t="n"/>
      <c r="F13" s="108" t="n"/>
    </row>
    <row r="14" ht="22" customHeight="1">
      <c r="A14" s="108" t="n"/>
      <c r="B14" s="114" t="inlineStr">
        <is>
          <t>CÓMO SE CALCULA EL PORCENTAJE</t>
        </is>
      </c>
      <c r="C14" s="115" t="n"/>
      <c r="D14" s="115" t="n"/>
      <c r="E14" s="115" t="n"/>
      <c r="F14" s="115" t="n"/>
    </row>
    <row r="15" ht="26" customHeight="1">
      <c r="A15" s="108" t="n"/>
      <c r="B15" s="119" t="inlineStr">
        <is>
          <t>Cada estado tiene un valor: Cumple totalmente 100% · En gran medida 75% · Parcialmente 50% · Incipiente 25% · No cumple 0%.</t>
        </is>
      </c>
      <c r="C15" s="108" t="n"/>
      <c r="D15" s="108" t="n"/>
      <c r="E15" s="108" t="n"/>
      <c r="F15" s="108" t="n"/>
    </row>
    <row r="16" ht="26" customHeight="1">
      <c r="A16" s="108" t="n"/>
      <c r="B16" s="119" t="inlineStr">
        <is>
          <t>% de un componente = Σ(valor × peso) ÷ Σ(peso de los requisitos que aplican). 'No aplica' y el peso 0 (recomendaciones) se excluyen; sin calificar cuenta como 0% (criterio conservador).</t>
        </is>
      </c>
      <c r="C16" s="108" t="n"/>
      <c r="D16" s="108" t="n"/>
      <c r="E16" s="108" t="n"/>
      <c r="F16" s="108" t="n"/>
    </row>
    <row r="17" ht="26" customHeight="1">
      <c r="A17" s="108" t="n"/>
      <c r="B17" s="119" t="inlineStr">
        <is>
          <t>Plan de acción: la fecha se pone en rojo si venció y la acción no está 'Cerrada', y en naranja si es posterior al 31/05/2027.</t>
        </is>
      </c>
      <c r="C17" s="108" t="n"/>
      <c r="D17" s="108" t="n"/>
      <c r="E17" s="108" t="n"/>
      <c r="F17" s="108" t="n"/>
    </row>
    <row r="18" ht="26" customHeight="1">
      <c r="A18" s="108" t="n"/>
      <c r="B18" s="119" t="inlineStr">
        <is>
          <t>El '% de avance' muestra cuántos requisitos aplicables ya se calificaron.</t>
        </is>
      </c>
      <c r="C18" s="108" t="n"/>
      <c r="D18" s="108" t="n"/>
      <c r="E18" s="108" t="n"/>
      <c r="F18" s="108" t="n"/>
    </row>
    <row r="19" ht="22" customHeight="1">
      <c r="A19" s="108" t="n"/>
      <c r="B19" s="114" t="inlineStr">
        <is>
          <t>CONVENCIONES</t>
        </is>
      </c>
      <c r="C19" s="115" t="n"/>
      <c r="D19" s="115" t="n"/>
      <c r="E19" s="115" t="n"/>
      <c r="F19" s="115" t="n"/>
    </row>
    <row r="20" ht="22" customHeight="1">
      <c r="A20" s="108" t="n"/>
      <c r="B20" s="120" t="inlineStr">
        <is>
          <t>Celda amarilla, texto azul</t>
        </is>
      </c>
      <c r="C20" s="119" t="inlineStr">
        <is>
          <t>Dato que usted diligencia.</t>
        </is>
      </c>
      <c r="D20" s="108" t="n"/>
      <c r="E20" s="108" t="n"/>
      <c r="F20" s="108" t="n"/>
    </row>
    <row r="21" ht="22" customHeight="1">
      <c r="A21" s="108" t="n"/>
      <c r="B21" s="121" t="inlineStr">
        <is>
          <t>Banda gris azulada</t>
        </is>
      </c>
      <c r="C21" s="119" t="inlineStr">
        <is>
          <t>Título de componente con su % en vivo.</t>
        </is>
      </c>
      <c r="D21" s="108" t="n"/>
      <c r="E21" s="108" t="n"/>
      <c r="F21" s="108" t="n"/>
    </row>
    <row r="22" ht="22" customHeight="1">
      <c r="A22" s="108" t="n"/>
      <c r="B22" s="122" t="inlineStr">
        <is>
          <t>Celda blanca</t>
        </is>
      </c>
      <c r="C22" s="119" t="inlineStr">
        <is>
          <t>Texto de la Circular o fórmula (no editar).</t>
        </is>
      </c>
      <c r="D22" s="108" t="n"/>
      <c r="E22" s="108" t="n"/>
      <c r="F22" s="108" t="n"/>
    </row>
    <row r="23">
      <c r="A23" s="108" t="n"/>
      <c r="B23" s="108" t="n"/>
      <c r="C23" s="108" t="n"/>
      <c r="D23" s="108" t="n"/>
      <c r="E23" s="108" t="n"/>
      <c r="F23" s="108" t="n"/>
    </row>
    <row r="24" ht="22" customHeight="1">
      <c r="A24" s="108" t="n"/>
      <c r="B24" s="114" t="inlineStr">
        <is>
          <t>EJEMPLO DE UNA FILA DILIGENCIADA (solo referencia)</t>
        </is>
      </c>
      <c r="C24" s="115" t="n"/>
      <c r="D24" s="115" t="n"/>
      <c r="E24" s="115" t="n"/>
      <c r="F24" s="115" t="n"/>
    </row>
    <row r="25">
      <c r="A25" s="108" t="n"/>
      <c r="B25" s="123" t="inlineStr">
        <is>
          <t>Requisito</t>
        </is>
      </c>
      <c r="C25" s="123" t="inlineStr">
        <is>
          <t>Estado</t>
        </is>
      </c>
      <c r="D25" s="123" t="inlineStr">
        <is>
          <t>Evidencia revisada</t>
        </is>
      </c>
      <c r="E25" s="123" t="inlineStr">
        <is>
          <t>Brecha</t>
        </is>
      </c>
      <c r="F25" s="123" t="inlineStr">
        <is>
          <t>Acción de mejora</t>
        </is>
      </c>
    </row>
    <row r="26" ht="54" customHeight="1">
      <c r="A26" s="108" t="n"/>
      <c r="B26" s="124" t="inlineStr">
        <is>
          <t>S-111 · Presentar AROS dentro de los 10 días calendario siguientes a cada trimestre sin ROS</t>
        </is>
      </c>
      <c r="C26" s="125" t="inlineStr">
        <is>
          <t>Cumple parcialmente</t>
        </is>
      </c>
      <c r="D26" s="124" t="inlineStr">
        <is>
          <t>Constancias SIREL T1 y T2 2026 radicadas a tiempo</t>
        </is>
      </c>
      <c r="E26" s="124" t="inlineStr">
        <is>
          <t>AROS del T3 2026 radicado el día 14 (fuera de plazo)</t>
        </is>
      </c>
      <c r="F26" s="124" t="inlineStr">
        <is>
          <t>Alerta de calendario el día 1 de cada trimestre; suplente como respaldo · 30/11/2026</t>
        </is>
      </c>
    </row>
    <row r="27">
      <c r="A27" s="108" t="n"/>
      <c r="B27" s="108" t="n"/>
      <c r="C27" s="108" t="n"/>
      <c r="D27" s="108" t="n"/>
      <c r="E27" s="108" t="n"/>
      <c r="F27" s="108" t="n"/>
    </row>
    <row r="28" ht="22" customHeight="1">
      <c r="A28" s="108" t="n"/>
      <c r="B28" s="114" t="inlineStr">
        <is>
          <t>ALCANCE Y ADVERTENCIAS</t>
        </is>
      </c>
      <c r="C28" s="115" t="n"/>
      <c r="D28" s="115" t="n"/>
      <c r="E28" s="115" t="n"/>
      <c r="F28" s="115" t="n"/>
    </row>
    <row r="29" ht="30" customHeight="1">
      <c r="A29" s="108" t="n"/>
      <c r="B29" s="119" t="inlineStr">
        <is>
          <t>•  Los requisitos parafrasean la Circular; ante cualquier duda prevalece su texto (ver numeral y página de cada fila).</t>
        </is>
      </c>
      <c r="C29" s="108" t="n"/>
      <c r="D29" s="108" t="n"/>
      <c r="E29" s="108" t="n"/>
      <c r="F29" s="108" t="n"/>
    </row>
    <row r="30" ht="30" customHeight="1">
      <c r="A30" s="108" t="n"/>
      <c r="B30" s="119" t="inlineStr">
        <is>
          <t>•  Plazo de transición (num. 9.29): quienes estaban obligados por las CE 100-000016/2020, 100-000011/2021 o 100-300000/2024 deben ajustar su Sistema a más tardar el 31 de mayo de 2027.</t>
        </is>
      </c>
      <c r="C30" s="108" t="n"/>
      <c r="D30" s="108" t="n"/>
      <c r="E30" s="108" t="n"/>
      <c r="F30" s="108" t="n"/>
    </row>
    <row r="31" ht="30" customHeight="1">
      <c r="A31" s="108" t="n"/>
      <c r="B31" s="119" t="inlineStr">
        <is>
          <t>•  Pesos y escala son una propuesta metodológica: la Circular no fija una fórmula de medición (el num. 9.26.2 recomienda métricas propias).</t>
        </is>
      </c>
      <c r="C31" s="108" t="n"/>
      <c r="D31" s="108" t="n"/>
      <c r="E31" s="108" t="n"/>
      <c r="F31" s="108" t="n"/>
    </row>
    <row r="32" ht="30" customHeight="1">
      <c r="A32" s="108" t="n"/>
      <c r="B32" s="119" t="inlineStr">
        <is>
          <t>•  Para agregar requisitos propios, inserte una fila dentro del bloque del componente y copie una fila existente completa (incluidas las columnas ocultas B, Q y R).</t>
        </is>
      </c>
      <c r="C32" s="108" t="n"/>
      <c r="D32" s="108" t="n"/>
      <c r="E32" s="108" t="n"/>
      <c r="F32" s="108" t="n"/>
    </row>
    <row r="33" ht="30" customHeight="1">
      <c r="A33" s="108" t="n"/>
      <c r="B33" s="119" t="inlineStr">
        <is>
          <t>•  Faltan los códigos S-29, S-58, S-65, S-71 y S-79: se retiraron porque repetían otros requisitos y castigaban dos veces la misma brecha. S-44 y S-118 se dividieron en A y B.</t>
        </is>
      </c>
      <c r="C33" s="108" t="n"/>
      <c r="D33" s="108" t="n"/>
      <c r="E33" s="108" t="n"/>
      <c r="F33" s="108" t="n"/>
    </row>
    <row r="35" ht="22" customHeight="1">
      <c r="B35" s="126" t="inlineStr">
        <is>
          <t>AVISO IMPORTANTE</t>
        </is>
      </c>
      <c r="C35" s="127" t="n"/>
      <c r="D35" s="127" t="n"/>
      <c r="E35" s="127" t="n"/>
      <c r="F35" s="127" t="n"/>
    </row>
    <row r="36" ht="30" customHeight="1">
      <c r="B36" s="113" t="inlineStr">
        <is>
          <t>•  Esta matriz es una herramienta de autodiagnóstico de uso orientativo. No constituye asesoría jurídica, contable ni de cumplimiento, y su uso no crea una relación profesional con Criterio Compliance.</t>
        </is>
      </c>
    </row>
    <row r="37" ht="30" customHeight="1">
      <c r="B37" s="113" t="inlineStr">
        <is>
          <t>•  El resultado no es una certificación ni una opinión sobre el cumplimiento de su empresa. No sustituye la evaluación del Oficial de Cumplimiento, de la revisoría fiscal ni de un profesional que conozca su caso.</t>
        </is>
      </c>
    </row>
    <row r="38" ht="30" customHeight="1">
      <c r="B38" s="113" t="inlineStr">
        <is>
          <t>•  Un porcentaje alto no garantiza que la Superintendencia de Sociedades considere adecuado el Sistema: la autoridad revisa la implementación efectiva y sus soportes, no el puntaje de esta matriz.</t>
        </is>
      </c>
    </row>
    <row r="39" ht="30" customHeight="1">
      <c r="B39" s="113" t="inlineStr">
        <is>
          <t>•  Los requisitos resumen el texto de la Circular Externa 100-000020 de 2026, expedida y publicada el 2 de julio de 2026. Verifique si hay modificaciones posteriores antes de usarla.</t>
        </is>
      </c>
    </row>
    <row r="40" ht="30" customHeight="1">
      <c r="B40" s="113" t="inlineStr">
        <is>
          <t>•  Antes de tomar decisiones con base en el resultado (aprobar documentos, designar al Oficial de Cumplimiento, reportar a la UIAF), consulte con un profesional.</t>
        </is>
      </c>
    </row>
    <row r="42" ht="22" customHeight="1">
      <c r="B42" s="126" t="inlineStr">
        <is>
          <t>CRÉDITOS Y USO</t>
        </is>
      </c>
      <c r="C42" s="127" t="n"/>
      <c r="D42" s="127" t="n"/>
      <c r="E42" s="127" t="n"/>
      <c r="F42" s="127" t="n"/>
    </row>
    <row r="43" ht="18" customHeight="1">
      <c r="B43" s="113" t="inlineStr">
        <is>
          <t>Elaborado por Criterio Compliance (criteriocompliance.com). Versión 4, octubre de 2026.</t>
        </is>
      </c>
    </row>
    <row r="44" ht="30" customHeight="1">
      <c r="B44" s="113" t="inlineStr">
        <is>
          <t>Puede usar y adaptar esta matriz en su empresa sin costo. Si la comparte o la publica, cite la fuente y no la comercialice.</t>
        </is>
      </c>
    </row>
    <row r="45" ht="30" customHeight="1">
      <c r="B45" s="113" t="inlineStr">
        <is>
          <t>Fuente normativa: Superintendencia de Sociedades, Circular Externa 100-000020 de 2026, Capítulo IX de la Circular Básica Jurídica (numerales 9.1 a 9.31).</t>
        </is>
      </c>
    </row>
  </sheetData>
  <mergeCells count="27">
    <mergeCell ref="B4:F4"/>
    <mergeCell ref="C8:F8"/>
    <mergeCell ref="B16:F16"/>
    <mergeCell ref="B31:F31"/>
    <mergeCell ref="B18:F18"/>
    <mergeCell ref="B43:F43"/>
    <mergeCell ref="B39:F39"/>
    <mergeCell ref="B17:F17"/>
    <mergeCell ref="B44:F44"/>
    <mergeCell ref="B29:F29"/>
    <mergeCell ref="B38:F38"/>
    <mergeCell ref="C20:F20"/>
    <mergeCell ref="B37:F37"/>
    <mergeCell ref="C10:F10"/>
    <mergeCell ref="B40:F40"/>
    <mergeCell ref="C22:F22"/>
    <mergeCell ref="B30:F30"/>
    <mergeCell ref="C9:F9"/>
    <mergeCell ref="B15:F15"/>
    <mergeCell ref="B33:F33"/>
    <mergeCell ref="C12:F12"/>
    <mergeCell ref="B5:F5"/>
    <mergeCell ref="C21:F21"/>
    <mergeCell ref="B45:F45"/>
    <mergeCell ref="C11:F11"/>
    <mergeCell ref="B36:F36"/>
    <mergeCell ref="B32:F32"/>
  </mergeCells>
  <hyperlinks>
    <hyperlink xmlns:r="http://schemas.openxmlformats.org/officeDocument/2006/relationships" ref="B8" r:id="rId1"/>
    <hyperlink xmlns:r="http://schemas.openxmlformats.org/officeDocument/2006/relationships" ref="B9" r:id="rId2"/>
    <hyperlink xmlns:r="http://schemas.openxmlformats.org/officeDocument/2006/relationships" ref="B10" r:id="rId3"/>
    <hyperlink xmlns:r="http://schemas.openxmlformats.org/officeDocument/2006/relationships" ref="B11" r:id="rId4"/>
    <hyperlink xmlns:r="http://schemas.openxmlformats.org/officeDocument/2006/relationships" ref="B12" r:id="rId5"/>
  </hyperlinks>
  <pageMargins left="0.75" right="0.75" top="1" bottom="1" header="0.5" footer="0.5"/>
  <pageSetup fitToHeight="0" fitToWidth="1"/>
  <headerFooter>
    <oddHeader>&amp;L&amp;"Georgia,Bold"&amp;KA12B22Criterio Compliance&amp;R&amp;K57534A&amp;A</oddHeader>
    <oddFooter>&amp;L&amp;8 &amp;K57534Acriteriocompliance.com · Herramienta orientativa: no reemplaza la asesoría profesional&amp;R&amp;8 Pág. &amp;P de &amp;N</oddFooter>
    <evenHeader/>
    <evenFooter/>
    <firstHeader/>
    <firstFooter/>
  </headerFooter>
</worksheet>
</file>

<file path=xl/worksheets/sheet2.xml><?xml version="1.0" encoding="utf-8"?>
<worksheet xmlns="http://schemas.openxmlformats.org/spreadsheetml/2006/main">
  <sheetPr>
    <tabColor rgb="001B1A17"/>
    <outlinePr summaryBelow="1" summaryRight="1"/>
    <pageSetUpPr fitToPage="1"/>
  </sheetPr>
  <dimension ref="A1:M48"/>
  <sheetViews>
    <sheetView showGridLines="0" zoomScale="90" workbookViewId="0">
      <pane ySplit="4" topLeftCell="A5" activePane="bottomLeft" state="frozen"/>
      <selection pane="bottomLeft" activeCell="A1" sqref="A1"/>
    </sheetView>
  </sheetViews>
  <sheetFormatPr baseColWidth="8" defaultRowHeight="15"/>
  <cols>
    <col width="2" customWidth="1" min="1" max="1"/>
    <col width="44" customWidth="1" min="2" max="2"/>
    <col width="11" customWidth="1" min="3" max="3"/>
    <col width="10" customWidth="1" min="4" max="4"/>
    <col width="11" customWidth="1" min="5" max="5"/>
    <col width="13" customWidth="1" min="6" max="6"/>
    <col width="14" customWidth="1" min="7" max="7"/>
    <col width="13" customWidth="1" min="8" max="8"/>
    <col width="11" customWidth="1" min="9" max="9"/>
    <col width="11" customWidth="1" min="10" max="10"/>
    <col width="11" customWidth="1" min="11" max="11"/>
    <col width="12" customWidth="1" min="12" max="12"/>
    <col width="12" customWidth="1" min="13" max="13"/>
    <col width="3" customWidth="1" min="14" max="14"/>
  </cols>
  <sheetData>
    <row r="1">
      <c r="A1" s="108" t="n"/>
      <c r="B1" s="108" t="n"/>
      <c r="C1" s="108" t="n"/>
      <c r="D1" s="108" t="n"/>
      <c r="E1" s="108" t="n"/>
      <c r="F1" s="108" t="n"/>
      <c r="G1" s="108" t="n"/>
      <c r="H1" s="108" t="n"/>
      <c r="I1" s="108" t="n"/>
      <c r="J1" s="108" t="n"/>
      <c r="K1" s="108" t="n"/>
      <c r="L1" s="108" t="n"/>
      <c r="M1" s="108" t="n"/>
    </row>
    <row r="2">
      <c r="A2" s="108" t="n"/>
      <c r="B2" s="110" t="inlineStr">
        <is>
          <t>Tablero de cumplimiento · Capítulo IX CBJ</t>
        </is>
      </c>
      <c r="C2" s="108" t="n"/>
      <c r="D2" s="108" t="n"/>
      <c r="E2" s="108" t="n"/>
      <c r="F2" s="108" t="n"/>
      <c r="G2" s="108" t="n"/>
      <c r="H2" s="108" t="n"/>
      <c r="I2" s="108" t="n"/>
      <c r="J2" s="108" t="n"/>
      <c r="K2" s="108" t="n"/>
      <c r="L2" s="108" t="n"/>
      <c r="M2" s="108" t="n"/>
    </row>
    <row r="3">
      <c r="A3" s="108" t="n"/>
      <c r="B3" s="128" t="inlineStr">
        <is>
          <t>Circular Externa 100-000020 de 2026 (Supersociedades) · se actualiza solo con lo que califique en las matrices</t>
        </is>
      </c>
      <c r="C3" s="108" t="n"/>
      <c r="D3" s="108" t="n"/>
      <c r="E3" s="108" t="n"/>
      <c r="F3" s="108" t="n"/>
      <c r="G3" s="108" t="n"/>
      <c r="H3" s="108" t="n"/>
      <c r="I3" s="108" t="n"/>
      <c r="J3" s="108" t="n"/>
      <c r="K3" s="108" t="n"/>
      <c r="L3" s="108" t="n"/>
      <c r="M3" s="108" t="n"/>
    </row>
    <row r="4">
      <c r="A4" s="108" t="n"/>
      <c r="B4" s="129" t="inlineStr">
        <is>
          <t>Criterio Compliance · criteriocompliance.com   ·   Herramienta orientativa de autodiagnóstico. No reemplaza la asesoría de un profesional ni constituye una certificación de cumplimiento.</t>
        </is>
      </c>
    </row>
    <row r="5">
      <c r="A5" s="108" t="n"/>
      <c r="B5" s="130" t="inlineStr">
        <is>
          <t>DATOS DE LA EVALUACIÓN</t>
        </is>
      </c>
      <c r="C5" s="108" t="n"/>
      <c r="D5" s="108" t="n"/>
      <c r="E5" s="108" t="n"/>
      <c r="F5" s="108" t="n"/>
      <c r="G5" s="108" t="n"/>
      <c r="H5" s="108" t="n"/>
      <c r="I5" s="108" t="n"/>
      <c r="J5" s="108" t="n"/>
      <c r="K5" s="108" t="n"/>
      <c r="L5" s="108" t="n"/>
      <c r="M5" s="108" t="n"/>
    </row>
    <row r="6" ht="30" customHeight="1">
      <c r="A6" s="108" t="n"/>
      <c r="B6" s="131" t="inlineStr">
        <is>
          <t>Empresa</t>
        </is>
      </c>
      <c r="C6" s="132" t="n"/>
      <c r="D6" s="118" t="n"/>
      <c r="E6" s="118" t="n"/>
      <c r="F6" s="108" t="n"/>
      <c r="G6" s="108" t="n"/>
      <c r="H6" s="108" t="n"/>
      <c r="I6" s="108" t="n"/>
      <c r="J6" s="108" t="n"/>
      <c r="K6" s="108" t="n"/>
      <c r="L6" s="108" t="n"/>
      <c r="M6" s="108" t="n"/>
    </row>
    <row r="7" ht="30" customHeight="1">
      <c r="A7" s="108" t="n"/>
      <c r="B7" s="131" t="inlineStr">
        <is>
          <t>NIT</t>
        </is>
      </c>
      <c r="C7" s="132" t="n"/>
      <c r="D7" s="118" t="n"/>
      <c r="E7" s="118" t="n"/>
      <c r="F7" s="108" t="n"/>
      <c r="G7" s="108" t="n"/>
      <c r="H7" s="108" t="n"/>
      <c r="I7" s="108" t="n"/>
      <c r="J7" s="108" t="n"/>
      <c r="K7" s="108" t="n"/>
      <c r="L7" s="108" t="n"/>
      <c r="M7" s="108" t="n"/>
    </row>
    <row r="8" ht="30" customHeight="1">
      <c r="A8" s="108" t="n"/>
      <c r="B8" s="131" t="inlineStr">
        <is>
          <t>Régimen evaluado</t>
        </is>
      </c>
      <c r="C8" s="132" t="inlineStr">
        <is>
          <t>Sistema de Autocontrol y Gestión LA/FT/FP y C/ST</t>
        </is>
      </c>
      <c r="D8" s="118" t="n"/>
      <c r="E8" s="118" t="n"/>
      <c r="F8" s="108" t="n"/>
      <c r="G8" s="108" t="n"/>
      <c r="H8" s="108" t="n"/>
      <c r="I8" s="108" t="n"/>
      <c r="J8" s="108" t="n"/>
      <c r="K8" s="108" t="n"/>
      <c r="L8" s="108" t="n"/>
      <c r="M8" s="108" t="n"/>
    </row>
    <row r="9" ht="30" customHeight="1">
      <c r="A9" s="108" t="n"/>
      <c r="B9" s="131" t="inlineStr">
        <is>
          <t>Fecha de evaluación</t>
        </is>
      </c>
      <c r="C9" s="133" t="n"/>
      <c r="D9" s="118" t="n"/>
      <c r="E9" s="118" t="n"/>
      <c r="F9" s="108" t="n"/>
      <c r="G9" s="108" t="n"/>
      <c r="H9" s="108" t="n"/>
      <c r="I9" s="108" t="n"/>
      <c r="J9" s="108" t="n"/>
      <c r="K9" s="108" t="n"/>
      <c r="L9" s="108" t="n"/>
      <c r="M9" s="108" t="n"/>
    </row>
    <row r="10" ht="30" customHeight="1">
      <c r="A10" s="108" t="n"/>
      <c r="B10" s="131" t="inlineStr">
        <is>
          <t>Evaluado por</t>
        </is>
      </c>
      <c r="C10" s="132" t="n"/>
      <c r="D10" s="118" t="n"/>
      <c r="E10" s="118" t="n"/>
      <c r="F10" s="108" t="n"/>
      <c r="G10" s="108" t="n"/>
      <c r="H10" s="108" t="n"/>
      <c r="I10" s="108" t="n"/>
      <c r="J10" s="108" t="n"/>
      <c r="K10" s="108" t="n"/>
      <c r="L10" s="108" t="n"/>
      <c r="M10" s="108" t="n"/>
    </row>
    <row r="11">
      <c r="A11" s="108" t="n"/>
      <c r="B11" s="108" t="n"/>
      <c r="C11" s="108" t="n"/>
      <c r="D11" s="108" t="n"/>
      <c r="E11" s="108" t="n"/>
      <c r="F11" s="130" t="inlineStr">
        <is>
          <t>INDICADORES</t>
        </is>
      </c>
      <c r="G11" s="108" t="n"/>
      <c r="H11" s="108" t="n"/>
      <c r="I11" s="108" t="n"/>
      <c r="J11" s="108" t="n"/>
      <c r="K11" s="108" t="n"/>
      <c r="L11" s="108" t="n"/>
      <c r="M11" s="108" t="n"/>
    </row>
    <row r="12" ht="20" customHeight="1">
      <c r="A12" s="108" t="n"/>
      <c r="B12" s="134" t="inlineStr">
        <is>
          <t>Cómo leerlo</t>
        </is>
      </c>
      <c r="C12" s="108" t="n"/>
      <c r="D12" s="108" t="n"/>
      <c r="E12" s="108" t="n"/>
      <c r="F12" s="135" t="inlineStr">
        <is>
          <t>CUMPLIMIENTO GLOBAL</t>
        </is>
      </c>
      <c r="G12" s="136" t="n"/>
      <c r="H12" s="135" t="inlineStr">
        <is>
          <t>AVANCE DE LA EVALUACIÓN</t>
        </is>
      </c>
      <c r="I12" s="136" t="n"/>
      <c r="J12" s="135" t="inlineStr">
        <is>
          <t>CRÍTICOS BAJO 50%</t>
        </is>
      </c>
      <c r="K12" s="136" t="n"/>
      <c r="L12" s="135" t="inlineStr">
        <is>
          <t>DÍAS PARA EL 31/05/2027</t>
        </is>
      </c>
      <c r="M12" s="136" t="n"/>
    </row>
    <row r="13" ht="22" customHeight="1">
      <c r="A13" s="108" t="n"/>
      <c r="B13" s="137" t="inlineStr">
        <is>
          <t>Elija el régimen en 'Régimen evaluado'. Las tarjetas y el semáforo cambian según ese régimen.</t>
        </is>
      </c>
      <c r="C13" s="108" t="n"/>
      <c r="D13" s="108" t="n"/>
      <c r="E13" s="108" t="n"/>
      <c r="F13" s="138">
        <f>IF($C$8=Escala!$F$6,F48,F35)</f>
        <v/>
      </c>
      <c r="G13" s="139" t="n"/>
      <c r="H13" s="140">
        <f>IF($C$8=Escala!$F$6,IF(D48=0,0,E48/D48),IF(D35=0,0,E35/D35))</f>
        <v/>
      </c>
      <c r="I13" s="139" t="n"/>
      <c r="J13" s="141">
        <f>IF($C$8=Escala!$F$6,COUNTIFS('Matriz RMM'!$H$7:$H$400,3,'Matriz RMM'!$J$7:$J$400,"&lt;"&amp;0.5),COUNTIFS('Matriz Sistema'!$H$7:$H$400,3,'Matriz Sistema'!$J$7:$J$400,"&lt;"&amp;0.5))</f>
        <v/>
      </c>
      <c r="K13" s="139" t="n"/>
      <c r="L13" s="142">
        <f>DATE(2027,5,31)-TODAY()</f>
        <v/>
      </c>
      <c r="M13" s="139" t="n"/>
    </row>
    <row r="14" ht="22" customHeight="1">
      <c r="A14" s="108" t="n"/>
      <c r="B14" s="108" t="n"/>
      <c r="C14" s="108" t="n"/>
      <c r="D14" s="108" t="n"/>
      <c r="E14" s="108" t="n"/>
      <c r="F14" s="143" t="n"/>
      <c r="G14" s="139" t="n"/>
      <c r="H14" s="143" t="n"/>
      <c r="I14" s="139" t="n"/>
      <c r="J14" s="143" t="n"/>
      <c r="K14" s="139" t="n"/>
      <c r="L14" s="143" t="n"/>
      <c r="M14" s="139" t="n"/>
    </row>
    <row r="15" ht="20" customHeight="1">
      <c r="A15" s="108" t="n"/>
      <c r="B15" s="108" t="n"/>
      <c r="C15" s="108" t="n"/>
      <c r="D15" s="108" t="n"/>
      <c r="E15" s="108" t="n"/>
      <c r="F15" s="144">
        <f>IF(NOT(ISNUMBER(F13)),"N/A",IF(F13&gt;=Escala!$C$14,"Adecuado",IF(F13&gt;=Escala!$C$15,"Aceptable",IF(F13&gt;=Escala!$C$16,"En desarrollo","Crítico"))))</f>
        <v/>
      </c>
      <c r="G15" s="145" t="n"/>
      <c r="H15" s="144">
        <f>IF($C$8=Escala!$F$6,E48&amp;" de "&amp;D48,E35&amp;" de "&amp;D35)&amp;" requisitos calificados"</f>
        <v/>
      </c>
      <c r="I15" s="145" t="n"/>
      <c r="J15" s="144">
        <f>"requisitos de peso 3"</f>
        <v/>
      </c>
      <c r="K15" s="145" t="n"/>
      <c r="L15" s="144">
        <f>"plazo de transición (num. 9.29)"</f>
        <v/>
      </c>
      <c r="M15" s="145" t="n"/>
    </row>
    <row r="16">
      <c r="A16" s="108" t="n"/>
      <c r="B16" s="108" t="n"/>
      <c r="C16" s="108" t="n"/>
      <c r="D16" s="108" t="n"/>
      <c r="E16" s="108" t="n"/>
      <c r="F16" s="146">
        <f>IF($C$8=Escala!$F$6,"Plan de acción RMM  ·  vencidas sin cerrar: "&amp;COUNTIFS('Matriz RMM'!$O$7:$O$400,"&lt;"&amp;TODAY(),'Matriz RMM'!$P$7:$P$400,"&lt;&gt;Cerrada")&amp;"  ·  con fecha posterior al 31/05/2027: "&amp;COUNTIF('Matriz RMM'!$O$7:$O$400,"&gt;"&amp;DATE(2027,5,31)),"Plan de acción  ·  vencidas sin cerrar: "&amp;COUNTIFS('Matriz Sistema'!$O$7:$O$400,"&lt;"&amp;TODAY(),'Matriz Sistema'!$P$7:$P$400,"&lt;&gt;Cerrada")&amp;"  ·  con fecha posterior al 31/05/2027: "&amp;COUNTIF('Matriz Sistema'!$O$7:$O$400,"&gt;"&amp;DATE(2027,5,31)))</f>
        <v/>
      </c>
      <c r="G16" s="108" t="n"/>
      <c r="H16" s="108" t="n"/>
      <c r="I16" s="108" t="n"/>
      <c r="J16" s="108" t="n"/>
      <c r="K16" s="108" t="n"/>
      <c r="L16" s="108" t="n"/>
      <c r="M16" s="108" t="n"/>
    </row>
    <row r="17">
      <c r="A17" s="108" t="n"/>
      <c r="B17" s="108" t="n"/>
      <c r="C17" s="108" t="n"/>
      <c r="D17" s="108" t="n"/>
      <c r="E17" s="108" t="n"/>
      <c r="F17" s="108" t="n"/>
      <c r="G17" s="108" t="n"/>
      <c r="H17" s="108" t="n"/>
      <c r="I17" s="108" t="n"/>
      <c r="J17" s="108" t="n"/>
      <c r="K17" s="108" t="n"/>
      <c r="L17" s="108" t="n"/>
      <c r="M17" s="108" t="n"/>
    </row>
    <row r="18">
      <c r="A18" s="108" t="n"/>
      <c r="B18" s="147" t="inlineStr">
        <is>
          <t>Sistema de Autocontrol y Gestión de Riesgos LA/FT/FP y C/ST · resultado por componente</t>
        </is>
      </c>
      <c r="C18" s="108" t="n"/>
      <c r="D18" s="108" t="n"/>
      <c r="E18" s="108" t="n"/>
      <c r="F18" s="108" t="n"/>
      <c r="G18" s="108" t="n"/>
      <c r="H18" s="108" t="n"/>
      <c r="I18" s="108" t="n"/>
      <c r="J18" s="108" t="n"/>
      <c r="K18" s="108" t="n"/>
      <c r="L18" s="108" t="n"/>
      <c r="M18" s="108" t="n"/>
    </row>
    <row r="19" ht="30" customHeight="1">
      <c r="A19" s="108" t="n"/>
      <c r="B19" s="114" t="inlineStr">
        <is>
          <t>Componente</t>
        </is>
      </c>
      <c r="C19" s="148" t="inlineStr">
        <is>
          <t>Requisitos</t>
        </is>
      </c>
      <c r="D19" s="148" t="inlineStr">
        <is>
          <t>Aplican</t>
        </is>
      </c>
      <c r="E19" s="148" t="inlineStr">
        <is>
          <t>Calificados</t>
        </is>
      </c>
      <c r="F19" s="148" t="inlineStr">
        <is>
          <t>% cumplimiento</t>
        </is>
      </c>
      <c r="G19" s="148" t="inlineStr">
        <is>
          <t>Nivel</t>
        </is>
      </c>
      <c r="H19" s="148" t="inlineStr">
        <is>
          <t>Cumple totalmente</t>
        </is>
      </c>
      <c r="I19" s="148" t="inlineStr">
        <is>
          <t>En gran medida</t>
        </is>
      </c>
      <c r="J19" s="148" t="inlineStr">
        <is>
          <t>Parcialmente</t>
        </is>
      </c>
      <c r="K19" s="148" t="inlineStr">
        <is>
          <t>Incipiente</t>
        </is>
      </c>
      <c r="L19" s="148" t="inlineStr">
        <is>
          <t>No cumple</t>
        </is>
      </c>
      <c r="M19" s="148" t="inlineStr">
        <is>
          <t>Sin calificar</t>
        </is>
      </c>
    </row>
    <row r="20" ht="22" customHeight="1">
      <c r="A20" s="108" t="n"/>
      <c r="B20" s="117" t="inlineStr">
        <is>
          <t>01. Diseño y aprobación del Sistema</t>
        </is>
      </c>
      <c r="C20" s="149">
        <f>COUNTIF('Matriz Sistema'!$B$7:$B$400,B20)</f>
        <v/>
      </c>
      <c r="D20" s="149">
        <f>C20-COUNTIFS('Matriz Sistema'!$B$7:$B$400,B20,'Matriz Sistema'!$I$7:$I$400,"No aplica")</f>
        <v/>
      </c>
      <c r="E20" s="149">
        <f>COUNTIFS('Matriz Sistema'!$B$7:$B$400,B20,'Matriz Sistema'!$I$7:$I$400,"?*")-COUNTIFS('Matriz Sistema'!$B$7:$B$400,B20,'Matriz Sistema'!$I$7:$I$400,"No aplica")</f>
        <v/>
      </c>
      <c r="F20" s="150">
        <f>IF(SUMIFS('Matriz Sistema'!$Q$7:$Q$400,'Matriz Sistema'!$B$7:$B$400,B20)=0,"N/A",SUMIFS('Matriz Sistema'!$R$7:$R$400,'Matriz Sistema'!$B$7:$B$400,B20)/SUMIFS('Matriz Sistema'!$Q$7:$Q$400,'Matriz Sistema'!$B$7:$B$400,B20))</f>
        <v/>
      </c>
      <c r="G20" s="149">
        <f>IF(NOT(ISNUMBER(F20)),"N/A",IF(F20&gt;=Escala!$C$14,"Adecuado",IF(F20&gt;=Escala!$C$15,"Aceptable",IF(F20&gt;=Escala!$C$16,"En desarrollo","Crítico"))))</f>
        <v/>
      </c>
      <c r="H20" s="151">
        <f>COUNTIFS('Matriz Sistema'!$B$7:$B$400,B20,'Matriz Sistema'!$I$7:$I$400,"Cumple totalmente")</f>
        <v/>
      </c>
      <c r="I20" s="151">
        <f>COUNTIFS('Matriz Sistema'!$B$7:$B$400,B20,'Matriz Sistema'!$I$7:$I$400,"Cumple en gran medida")</f>
        <v/>
      </c>
      <c r="J20" s="151">
        <f>COUNTIFS('Matriz Sistema'!$B$7:$B$400,B20,'Matriz Sistema'!$I$7:$I$400,"Cumple parcialmente")</f>
        <v/>
      </c>
      <c r="K20" s="151">
        <f>COUNTIFS('Matriz Sistema'!$B$7:$B$400,B20,'Matriz Sistema'!$I$7:$I$400,"Cumplimiento incipiente")</f>
        <v/>
      </c>
      <c r="L20" s="151">
        <f>COUNTIFS('Matriz Sistema'!$B$7:$B$400,B20,'Matriz Sistema'!$I$7:$I$400,"No cumple")</f>
        <v/>
      </c>
      <c r="M20" s="151">
        <f>D20-E20</f>
        <v/>
      </c>
    </row>
    <row r="21" ht="22" customHeight="1">
      <c r="A21" s="108" t="n"/>
      <c r="B21" s="152" t="inlineStr">
        <is>
          <t>02. Políticas mínimas</t>
        </is>
      </c>
      <c r="C21" s="153">
        <f>COUNTIF('Matriz Sistema'!$B$7:$B$400,B21)</f>
        <v/>
      </c>
      <c r="D21" s="153">
        <f>C21-COUNTIFS('Matriz Sistema'!$B$7:$B$400,B21,'Matriz Sistema'!$I$7:$I$400,"No aplica")</f>
        <v/>
      </c>
      <c r="E21" s="153">
        <f>COUNTIFS('Matriz Sistema'!$B$7:$B$400,B21,'Matriz Sistema'!$I$7:$I$400,"?*")-COUNTIFS('Matriz Sistema'!$B$7:$B$400,B21,'Matriz Sistema'!$I$7:$I$400,"No aplica")</f>
        <v/>
      </c>
      <c r="F21" s="154">
        <f>IF(SUMIFS('Matriz Sistema'!$Q$7:$Q$400,'Matriz Sistema'!$B$7:$B$400,B21)=0,"N/A",SUMIFS('Matriz Sistema'!$R$7:$R$400,'Matriz Sistema'!$B$7:$B$400,B21)/SUMIFS('Matriz Sistema'!$Q$7:$Q$400,'Matriz Sistema'!$B$7:$B$400,B21))</f>
        <v/>
      </c>
      <c r="G21" s="153">
        <f>IF(NOT(ISNUMBER(F21)),"N/A",IF(F21&gt;=Escala!$C$14,"Adecuado",IF(F21&gt;=Escala!$C$15,"Aceptable",IF(F21&gt;=Escala!$C$16,"En desarrollo","Crítico"))))</f>
        <v/>
      </c>
      <c r="H21" s="155">
        <f>COUNTIFS('Matriz Sistema'!$B$7:$B$400,B21,'Matriz Sistema'!$I$7:$I$400,"Cumple totalmente")</f>
        <v/>
      </c>
      <c r="I21" s="155">
        <f>COUNTIFS('Matriz Sistema'!$B$7:$B$400,B21,'Matriz Sistema'!$I$7:$I$400,"Cumple en gran medida")</f>
        <v/>
      </c>
      <c r="J21" s="155">
        <f>COUNTIFS('Matriz Sistema'!$B$7:$B$400,B21,'Matriz Sistema'!$I$7:$I$400,"Cumple parcialmente")</f>
        <v/>
      </c>
      <c r="K21" s="155">
        <f>COUNTIFS('Matriz Sistema'!$B$7:$B$400,B21,'Matriz Sistema'!$I$7:$I$400,"Cumplimiento incipiente")</f>
        <v/>
      </c>
      <c r="L21" s="155">
        <f>COUNTIFS('Matriz Sistema'!$B$7:$B$400,B21,'Matriz Sistema'!$I$7:$I$400,"No cumple")</f>
        <v/>
      </c>
      <c r="M21" s="155">
        <f>D21-E21</f>
        <v/>
      </c>
    </row>
    <row r="22" ht="22" customHeight="1">
      <c r="A22" s="108" t="n"/>
      <c r="B22" s="117" t="inlineStr">
        <is>
          <t>03. Funciones de la Junta Directiva / máximo órgano</t>
        </is>
      </c>
      <c r="C22" s="149">
        <f>COUNTIF('Matriz Sistema'!$B$7:$B$400,B22)</f>
        <v/>
      </c>
      <c r="D22" s="149">
        <f>C22-COUNTIFS('Matriz Sistema'!$B$7:$B$400,B22,'Matriz Sistema'!$I$7:$I$400,"No aplica")</f>
        <v/>
      </c>
      <c r="E22" s="149">
        <f>COUNTIFS('Matriz Sistema'!$B$7:$B$400,B22,'Matriz Sistema'!$I$7:$I$400,"?*")-COUNTIFS('Matriz Sistema'!$B$7:$B$400,B22,'Matriz Sistema'!$I$7:$I$400,"No aplica")</f>
        <v/>
      </c>
      <c r="F22" s="150">
        <f>IF(SUMIFS('Matriz Sistema'!$Q$7:$Q$400,'Matriz Sistema'!$B$7:$B$400,B22)=0,"N/A",SUMIFS('Matriz Sistema'!$R$7:$R$400,'Matriz Sistema'!$B$7:$B$400,B22)/SUMIFS('Matriz Sistema'!$Q$7:$Q$400,'Matriz Sistema'!$B$7:$B$400,B22))</f>
        <v/>
      </c>
      <c r="G22" s="149">
        <f>IF(NOT(ISNUMBER(F22)),"N/A",IF(F22&gt;=Escala!$C$14,"Adecuado",IF(F22&gt;=Escala!$C$15,"Aceptable",IF(F22&gt;=Escala!$C$16,"En desarrollo","Crítico"))))</f>
        <v/>
      </c>
      <c r="H22" s="151">
        <f>COUNTIFS('Matriz Sistema'!$B$7:$B$400,B22,'Matriz Sistema'!$I$7:$I$400,"Cumple totalmente")</f>
        <v/>
      </c>
      <c r="I22" s="151">
        <f>COUNTIFS('Matriz Sistema'!$B$7:$B$400,B22,'Matriz Sistema'!$I$7:$I$400,"Cumple en gran medida")</f>
        <v/>
      </c>
      <c r="J22" s="151">
        <f>COUNTIFS('Matriz Sistema'!$B$7:$B$400,B22,'Matriz Sistema'!$I$7:$I$400,"Cumple parcialmente")</f>
        <v/>
      </c>
      <c r="K22" s="151">
        <f>COUNTIFS('Matriz Sistema'!$B$7:$B$400,B22,'Matriz Sistema'!$I$7:$I$400,"Cumplimiento incipiente")</f>
        <v/>
      </c>
      <c r="L22" s="151">
        <f>COUNTIFS('Matriz Sistema'!$B$7:$B$400,B22,'Matriz Sistema'!$I$7:$I$400,"No cumple")</f>
        <v/>
      </c>
      <c r="M22" s="151">
        <f>D22-E22</f>
        <v/>
      </c>
    </row>
    <row r="23" ht="22" customHeight="1">
      <c r="A23" s="108" t="n"/>
      <c r="B23" s="152" t="inlineStr">
        <is>
          <t>04. Funciones del Representante Legal</t>
        </is>
      </c>
      <c r="C23" s="153">
        <f>COUNTIF('Matriz Sistema'!$B$7:$B$400,B23)</f>
        <v/>
      </c>
      <c r="D23" s="153">
        <f>C23-COUNTIFS('Matriz Sistema'!$B$7:$B$400,B23,'Matriz Sistema'!$I$7:$I$400,"No aplica")</f>
        <v/>
      </c>
      <c r="E23" s="153">
        <f>COUNTIFS('Matriz Sistema'!$B$7:$B$400,B23,'Matriz Sistema'!$I$7:$I$400,"?*")-COUNTIFS('Matriz Sistema'!$B$7:$B$400,B23,'Matriz Sistema'!$I$7:$I$400,"No aplica")</f>
        <v/>
      </c>
      <c r="F23" s="154">
        <f>IF(SUMIFS('Matriz Sistema'!$Q$7:$Q$400,'Matriz Sistema'!$B$7:$B$400,B23)=0,"N/A",SUMIFS('Matriz Sistema'!$R$7:$R$400,'Matriz Sistema'!$B$7:$B$400,B23)/SUMIFS('Matriz Sistema'!$Q$7:$Q$400,'Matriz Sistema'!$B$7:$B$400,B23))</f>
        <v/>
      </c>
      <c r="G23" s="153">
        <f>IF(NOT(ISNUMBER(F23)),"N/A",IF(F23&gt;=Escala!$C$14,"Adecuado",IF(F23&gt;=Escala!$C$15,"Aceptable",IF(F23&gt;=Escala!$C$16,"En desarrollo","Crítico"))))</f>
        <v/>
      </c>
      <c r="H23" s="155">
        <f>COUNTIFS('Matriz Sistema'!$B$7:$B$400,B23,'Matriz Sistema'!$I$7:$I$400,"Cumple totalmente")</f>
        <v/>
      </c>
      <c r="I23" s="155">
        <f>COUNTIFS('Matriz Sistema'!$B$7:$B$400,B23,'Matriz Sistema'!$I$7:$I$400,"Cumple en gran medida")</f>
        <v/>
      </c>
      <c r="J23" s="155">
        <f>COUNTIFS('Matriz Sistema'!$B$7:$B$400,B23,'Matriz Sistema'!$I$7:$I$400,"Cumple parcialmente")</f>
        <v/>
      </c>
      <c r="K23" s="155">
        <f>COUNTIFS('Matriz Sistema'!$B$7:$B$400,B23,'Matriz Sistema'!$I$7:$I$400,"Cumplimiento incipiente")</f>
        <v/>
      </c>
      <c r="L23" s="155">
        <f>COUNTIFS('Matriz Sistema'!$B$7:$B$400,B23,'Matriz Sistema'!$I$7:$I$400,"No cumple")</f>
        <v/>
      </c>
      <c r="M23" s="155">
        <f>D23-E23</f>
        <v/>
      </c>
    </row>
    <row r="24" ht="22" customHeight="1">
      <c r="A24" s="108" t="n"/>
      <c r="B24" s="117" t="inlineStr">
        <is>
          <t>05. Divulgación y capacitación</t>
        </is>
      </c>
      <c r="C24" s="149">
        <f>COUNTIF('Matriz Sistema'!$B$7:$B$400,B24)</f>
        <v/>
      </c>
      <c r="D24" s="149">
        <f>C24-COUNTIFS('Matriz Sistema'!$B$7:$B$400,B24,'Matriz Sistema'!$I$7:$I$400,"No aplica")</f>
        <v/>
      </c>
      <c r="E24" s="149">
        <f>COUNTIFS('Matriz Sistema'!$B$7:$B$400,B24,'Matriz Sistema'!$I$7:$I$400,"?*")-COUNTIFS('Matriz Sistema'!$B$7:$B$400,B24,'Matriz Sistema'!$I$7:$I$400,"No aplica")</f>
        <v/>
      </c>
      <c r="F24" s="150">
        <f>IF(SUMIFS('Matriz Sistema'!$Q$7:$Q$400,'Matriz Sistema'!$B$7:$B$400,B24)=0,"N/A",SUMIFS('Matriz Sistema'!$R$7:$R$400,'Matriz Sistema'!$B$7:$B$400,B24)/SUMIFS('Matriz Sistema'!$Q$7:$Q$400,'Matriz Sistema'!$B$7:$B$400,B24))</f>
        <v/>
      </c>
      <c r="G24" s="149">
        <f>IF(NOT(ISNUMBER(F24)),"N/A",IF(F24&gt;=Escala!$C$14,"Adecuado",IF(F24&gt;=Escala!$C$15,"Aceptable",IF(F24&gt;=Escala!$C$16,"En desarrollo","Crítico"))))</f>
        <v/>
      </c>
      <c r="H24" s="151">
        <f>COUNTIFS('Matriz Sistema'!$B$7:$B$400,B24,'Matriz Sistema'!$I$7:$I$400,"Cumple totalmente")</f>
        <v/>
      </c>
      <c r="I24" s="151">
        <f>COUNTIFS('Matriz Sistema'!$B$7:$B$400,B24,'Matriz Sistema'!$I$7:$I$400,"Cumple en gran medida")</f>
        <v/>
      </c>
      <c r="J24" s="151">
        <f>COUNTIFS('Matriz Sistema'!$B$7:$B$400,B24,'Matriz Sistema'!$I$7:$I$400,"Cumple parcialmente")</f>
        <v/>
      </c>
      <c r="K24" s="151">
        <f>COUNTIFS('Matriz Sistema'!$B$7:$B$400,B24,'Matriz Sistema'!$I$7:$I$400,"Cumplimiento incipiente")</f>
        <v/>
      </c>
      <c r="L24" s="151">
        <f>COUNTIFS('Matriz Sistema'!$B$7:$B$400,B24,'Matriz Sistema'!$I$7:$I$400,"No cumple")</f>
        <v/>
      </c>
      <c r="M24" s="151">
        <f>D24-E24</f>
        <v/>
      </c>
    </row>
    <row r="25" ht="22" customHeight="1">
      <c r="A25" s="108" t="n"/>
      <c r="B25" s="152" t="inlineStr">
        <is>
          <t>06. Oficial de Cumplimiento: estructura, requisitos e inhabilidades</t>
        </is>
      </c>
      <c r="C25" s="153">
        <f>COUNTIF('Matriz Sistema'!$B$7:$B$400,B25)</f>
        <v/>
      </c>
      <c r="D25" s="153">
        <f>C25-COUNTIFS('Matriz Sistema'!$B$7:$B$400,B25,'Matriz Sistema'!$I$7:$I$400,"No aplica")</f>
        <v/>
      </c>
      <c r="E25" s="153">
        <f>COUNTIFS('Matriz Sistema'!$B$7:$B$400,B25,'Matriz Sistema'!$I$7:$I$400,"?*")-COUNTIFS('Matriz Sistema'!$B$7:$B$400,B25,'Matriz Sistema'!$I$7:$I$400,"No aplica")</f>
        <v/>
      </c>
      <c r="F25" s="154">
        <f>IF(SUMIFS('Matriz Sistema'!$Q$7:$Q$400,'Matriz Sistema'!$B$7:$B$400,B25)=0,"N/A",SUMIFS('Matriz Sistema'!$R$7:$R$400,'Matriz Sistema'!$B$7:$B$400,B25)/SUMIFS('Matriz Sistema'!$Q$7:$Q$400,'Matriz Sistema'!$B$7:$B$400,B25))</f>
        <v/>
      </c>
      <c r="G25" s="153">
        <f>IF(NOT(ISNUMBER(F25)),"N/A",IF(F25&gt;=Escala!$C$14,"Adecuado",IF(F25&gt;=Escala!$C$15,"Aceptable",IF(F25&gt;=Escala!$C$16,"En desarrollo","Crítico"))))</f>
        <v/>
      </c>
      <c r="H25" s="155">
        <f>COUNTIFS('Matriz Sistema'!$B$7:$B$400,B25,'Matriz Sistema'!$I$7:$I$400,"Cumple totalmente")</f>
        <v/>
      </c>
      <c r="I25" s="155">
        <f>COUNTIFS('Matriz Sistema'!$B$7:$B$400,B25,'Matriz Sistema'!$I$7:$I$400,"Cumple en gran medida")</f>
        <v/>
      </c>
      <c r="J25" s="155">
        <f>COUNTIFS('Matriz Sistema'!$B$7:$B$400,B25,'Matriz Sistema'!$I$7:$I$400,"Cumple parcialmente")</f>
        <v/>
      </c>
      <c r="K25" s="155">
        <f>COUNTIFS('Matriz Sistema'!$B$7:$B$400,B25,'Matriz Sistema'!$I$7:$I$400,"Cumplimiento incipiente")</f>
        <v/>
      </c>
      <c r="L25" s="155">
        <f>COUNTIFS('Matriz Sistema'!$B$7:$B$400,B25,'Matriz Sistema'!$I$7:$I$400,"No cumple")</f>
        <v/>
      </c>
      <c r="M25" s="155">
        <f>D25-E25</f>
        <v/>
      </c>
    </row>
    <row r="26" ht="22" customHeight="1">
      <c r="A26" s="108" t="n"/>
      <c r="B26" s="117" t="inlineStr">
        <is>
          <t>07. Funciones del Oficial de Cumplimiento</t>
        </is>
      </c>
      <c r="C26" s="149">
        <f>COUNTIF('Matriz Sistema'!$B$7:$B$400,B26)</f>
        <v/>
      </c>
      <c r="D26" s="149">
        <f>C26-COUNTIFS('Matriz Sistema'!$B$7:$B$400,B26,'Matriz Sistema'!$I$7:$I$400,"No aplica")</f>
        <v/>
      </c>
      <c r="E26" s="149">
        <f>COUNTIFS('Matriz Sistema'!$B$7:$B$400,B26,'Matriz Sistema'!$I$7:$I$400,"?*")-COUNTIFS('Matriz Sistema'!$B$7:$B$400,B26,'Matriz Sistema'!$I$7:$I$400,"No aplica")</f>
        <v/>
      </c>
      <c r="F26" s="150">
        <f>IF(SUMIFS('Matriz Sistema'!$Q$7:$Q$400,'Matriz Sistema'!$B$7:$B$400,B26)=0,"N/A",SUMIFS('Matriz Sistema'!$R$7:$R$400,'Matriz Sistema'!$B$7:$B$400,B26)/SUMIFS('Matriz Sistema'!$Q$7:$Q$400,'Matriz Sistema'!$B$7:$B$400,B26))</f>
        <v/>
      </c>
      <c r="G26" s="149">
        <f>IF(NOT(ISNUMBER(F26)),"N/A",IF(F26&gt;=Escala!$C$14,"Adecuado",IF(F26&gt;=Escala!$C$15,"Aceptable",IF(F26&gt;=Escala!$C$16,"En desarrollo","Crítico"))))</f>
        <v/>
      </c>
      <c r="H26" s="151">
        <f>COUNTIFS('Matriz Sistema'!$B$7:$B$400,B26,'Matriz Sistema'!$I$7:$I$400,"Cumple totalmente")</f>
        <v/>
      </c>
      <c r="I26" s="151">
        <f>COUNTIFS('Matriz Sistema'!$B$7:$B$400,B26,'Matriz Sistema'!$I$7:$I$400,"Cumple en gran medida")</f>
        <v/>
      </c>
      <c r="J26" s="151">
        <f>COUNTIFS('Matriz Sistema'!$B$7:$B$400,B26,'Matriz Sistema'!$I$7:$I$400,"Cumple parcialmente")</f>
        <v/>
      </c>
      <c r="K26" s="151">
        <f>COUNTIFS('Matriz Sistema'!$B$7:$B$400,B26,'Matriz Sistema'!$I$7:$I$400,"Cumplimiento incipiente")</f>
        <v/>
      </c>
      <c r="L26" s="151">
        <f>COUNTIFS('Matriz Sistema'!$B$7:$B$400,B26,'Matriz Sistema'!$I$7:$I$400,"No cumple")</f>
        <v/>
      </c>
      <c r="M26" s="151">
        <f>D26-E26</f>
        <v/>
      </c>
    </row>
    <row r="27" ht="22" customHeight="1">
      <c r="A27" s="108" t="n"/>
      <c r="B27" s="152" t="inlineStr">
        <is>
          <t>08. Revisoría fiscal y auditorías</t>
        </is>
      </c>
      <c r="C27" s="153">
        <f>COUNTIF('Matriz Sistema'!$B$7:$B$400,B27)</f>
        <v/>
      </c>
      <c r="D27" s="153">
        <f>C27-COUNTIFS('Matriz Sistema'!$B$7:$B$400,B27,'Matriz Sistema'!$I$7:$I$400,"No aplica")</f>
        <v/>
      </c>
      <c r="E27" s="153">
        <f>COUNTIFS('Matriz Sistema'!$B$7:$B$400,B27,'Matriz Sistema'!$I$7:$I$400,"?*")-COUNTIFS('Matriz Sistema'!$B$7:$B$400,B27,'Matriz Sistema'!$I$7:$I$400,"No aplica")</f>
        <v/>
      </c>
      <c r="F27" s="154">
        <f>IF(SUMIFS('Matriz Sistema'!$Q$7:$Q$400,'Matriz Sistema'!$B$7:$B$400,B27)=0,"N/A",SUMIFS('Matriz Sistema'!$R$7:$R$400,'Matriz Sistema'!$B$7:$B$400,B27)/SUMIFS('Matriz Sistema'!$Q$7:$Q$400,'Matriz Sistema'!$B$7:$B$400,B27))</f>
        <v/>
      </c>
      <c r="G27" s="153">
        <f>IF(NOT(ISNUMBER(F27)),"N/A",IF(F27&gt;=Escala!$C$14,"Adecuado",IF(F27&gt;=Escala!$C$15,"Aceptable",IF(F27&gt;=Escala!$C$16,"En desarrollo","Crítico"))))</f>
        <v/>
      </c>
      <c r="H27" s="155">
        <f>COUNTIFS('Matriz Sistema'!$B$7:$B$400,B27,'Matriz Sistema'!$I$7:$I$400,"Cumple totalmente")</f>
        <v/>
      </c>
      <c r="I27" s="155">
        <f>COUNTIFS('Matriz Sistema'!$B$7:$B$400,B27,'Matriz Sistema'!$I$7:$I$400,"Cumple en gran medida")</f>
        <v/>
      </c>
      <c r="J27" s="155">
        <f>COUNTIFS('Matriz Sistema'!$B$7:$B$400,B27,'Matriz Sistema'!$I$7:$I$400,"Cumple parcialmente")</f>
        <v/>
      </c>
      <c r="K27" s="155">
        <f>COUNTIFS('Matriz Sistema'!$B$7:$B$400,B27,'Matriz Sistema'!$I$7:$I$400,"Cumplimiento incipiente")</f>
        <v/>
      </c>
      <c r="L27" s="155">
        <f>COUNTIFS('Matriz Sistema'!$B$7:$B$400,B27,'Matriz Sistema'!$I$7:$I$400,"No cumple")</f>
        <v/>
      </c>
      <c r="M27" s="155">
        <f>D27-E27</f>
        <v/>
      </c>
    </row>
    <row r="28" ht="22" customHeight="1">
      <c r="A28" s="108" t="n"/>
      <c r="B28" s="117" t="inlineStr">
        <is>
          <t>09. Etapas de gestión del riesgo</t>
        </is>
      </c>
      <c r="C28" s="149">
        <f>COUNTIF('Matriz Sistema'!$B$7:$B$400,B28)</f>
        <v/>
      </c>
      <c r="D28" s="149">
        <f>C28-COUNTIFS('Matriz Sistema'!$B$7:$B$400,B28,'Matriz Sistema'!$I$7:$I$400,"No aplica")</f>
        <v/>
      </c>
      <c r="E28" s="149">
        <f>COUNTIFS('Matriz Sistema'!$B$7:$B$400,B28,'Matriz Sistema'!$I$7:$I$400,"?*")-COUNTIFS('Matriz Sistema'!$B$7:$B$400,B28,'Matriz Sistema'!$I$7:$I$400,"No aplica")</f>
        <v/>
      </c>
      <c r="F28" s="150">
        <f>IF(SUMIFS('Matriz Sistema'!$Q$7:$Q$400,'Matriz Sistema'!$B$7:$B$400,B28)=0,"N/A",SUMIFS('Matriz Sistema'!$R$7:$R$400,'Matriz Sistema'!$B$7:$B$400,B28)/SUMIFS('Matriz Sistema'!$Q$7:$Q$400,'Matriz Sistema'!$B$7:$B$400,B28))</f>
        <v/>
      </c>
      <c r="G28" s="149">
        <f>IF(NOT(ISNUMBER(F28)),"N/A",IF(F28&gt;=Escala!$C$14,"Adecuado",IF(F28&gt;=Escala!$C$15,"Aceptable",IF(F28&gt;=Escala!$C$16,"En desarrollo","Crítico"))))</f>
        <v/>
      </c>
      <c r="H28" s="151">
        <f>COUNTIFS('Matriz Sistema'!$B$7:$B$400,B28,'Matriz Sistema'!$I$7:$I$400,"Cumple totalmente")</f>
        <v/>
      </c>
      <c r="I28" s="151">
        <f>COUNTIFS('Matriz Sistema'!$B$7:$B$400,B28,'Matriz Sistema'!$I$7:$I$400,"Cumple en gran medida")</f>
        <v/>
      </c>
      <c r="J28" s="151">
        <f>COUNTIFS('Matriz Sistema'!$B$7:$B$400,B28,'Matriz Sistema'!$I$7:$I$400,"Cumple parcialmente")</f>
        <v/>
      </c>
      <c r="K28" s="151">
        <f>COUNTIFS('Matriz Sistema'!$B$7:$B$400,B28,'Matriz Sistema'!$I$7:$I$400,"Cumplimiento incipiente")</f>
        <v/>
      </c>
      <c r="L28" s="151">
        <f>COUNTIFS('Matriz Sistema'!$B$7:$B$400,B28,'Matriz Sistema'!$I$7:$I$400,"No cumple")</f>
        <v/>
      </c>
      <c r="M28" s="151">
        <f>D28-E28</f>
        <v/>
      </c>
    </row>
    <row r="29" ht="22" customHeight="1">
      <c r="A29" s="108" t="n"/>
      <c r="B29" s="152" t="inlineStr">
        <is>
          <t>10. Debida diligencia</t>
        </is>
      </c>
      <c r="C29" s="153">
        <f>COUNTIF('Matriz Sistema'!$B$7:$B$400,B29)</f>
        <v/>
      </c>
      <c r="D29" s="153">
        <f>C29-COUNTIFS('Matriz Sistema'!$B$7:$B$400,B29,'Matriz Sistema'!$I$7:$I$400,"No aplica")</f>
        <v/>
      </c>
      <c r="E29" s="153">
        <f>COUNTIFS('Matriz Sistema'!$B$7:$B$400,B29,'Matriz Sistema'!$I$7:$I$400,"?*")-COUNTIFS('Matriz Sistema'!$B$7:$B$400,B29,'Matriz Sistema'!$I$7:$I$400,"No aplica")</f>
        <v/>
      </c>
      <c r="F29" s="154">
        <f>IF(SUMIFS('Matriz Sistema'!$Q$7:$Q$400,'Matriz Sistema'!$B$7:$B$400,B29)=0,"N/A",SUMIFS('Matriz Sistema'!$R$7:$R$400,'Matriz Sistema'!$B$7:$B$400,B29)/SUMIFS('Matriz Sistema'!$Q$7:$Q$400,'Matriz Sistema'!$B$7:$B$400,B29))</f>
        <v/>
      </c>
      <c r="G29" s="153">
        <f>IF(NOT(ISNUMBER(F29)),"N/A",IF(F29&gt;=Escala!$C$14,"Adecuado",IF(F29&gt;=Escala!$C$15,"Aceptable",IF(F29&gt;=Escala!$C$16,"En desarrollo","Crítico"))))</f>
        <v/>
      </c>
      <c r="H29" s="155">
        <f>COUNTIFS('Matriz Sistema'!$B$7:$B$400,B29,'Matriz Sistema'!$I$7:$I$400,"Cumple totalmente")</f>
        <v/>
      </c>
      <c r="I29" s="155">
        <f>COUNTIFS('Matriz Sistema'!$B$7:$B$400,B29,'Matriz Sistema'!$I$7:$I$400,"Cumple en gran medida")</f>
        <v/>
      </c>
      <c r="J29" s="155">
        <f>COUNTIFS('Matriz Sistema'!$B$7:$B$400,B29,'Matriz Sistema'!$I$7:$I$400,"Cumple parcialmente")</f>
        <v/>
      </c>
      <c r="K29" s="155">
        <f>COUNTIFS('Matriz Sistema'!$B$7:$B$400,B29,'Matriz Sistema'!$I$7:$I$400,"Cumplimiento incipiente")</f>
        <v/>
      </c>
      <c r="L29" s="155">
        <f>COUNTIFS('Matriz Sistema'!$B$7:$B$400,B29,'Matriz Sistema'!$I$7:$I$400,"No cumple")</f>
        <v/>
      </c>
      <c r="M29" s="155">
        <f>D29-E29</f>
        <v/>
      </c>
    </row>
    <row r="30" ht="22" customHeight="1">
      <c r="A30" s="108" t="n"/>
      <c r="B30" s="117" t="inlineStr">
        <is>
          <t>11. Debida diligencia intensificada</t>
        </is>
      </c>
      <c r="C30" s="149">
        <f>COUNTIF('Matriz Sistema'!$B$7:$B$400,B30)</f>
        <v/>
      </c>
      <c r="D30" s="149">
        <f>C30-COUNTIFS('Matriz Sistema'!$B$7:$B$400,B30,'Matriz Sistema'!$I$7:$I$400,"No aplica")</f>
        <v/>
      </c>
      <c r="E30" s="149">
        <f>COUNTIFS('Matriz Sistema'!$B$7:$B$400,B30,'Matriz Sistema'!$I$7:$I$400,"?*")-COUNTIFS('Matriz Sistema'!$B$7:$B$400,B30,'Matriz Sistema'!$I$7:$I$400,"No aplica")</f>
        <v/>
      </c>
      <c r="F30" s="150">
        <f>IF(SUMIFS('Matriz Sistema'!$Q$7:$Q$400,'Matriz Sistema'!$B$7:$B$400,B30)=0,"N/A",SUMIFS('Matriz Sistema'!$R$7:$R$400,'Matriz Sistema'!$B$7:$B$400,B30)/SUMIFS('Matriz Sistema'!$Q$7:$Q$400,'Matriz Sistema'!$B$7:$B$400,B30))</f>
        <v/>
      </c>
      <c r="G30" s="149">
        <f>IF(NOT(ISNUMBER(F30)),"N/A",IF(F30&gt;=Escala!$C$14,"Adecuado",IF(F30&gt;=Escala!$C$15,"Aceptable",IF(F30&gt;=Escala!$C$16,"En desarrollo","Crítico"))))</f>
        <v/>
      </c>
      <c r="H30" s="151">
        <f>COUNTIFS('Matriz Sistema'!$B$7:$B$400,B30,'Matriz Sistema'!$I$7:$I$400,"Cumple totalmente")</f>
        <v/>
      </c>
      <c r="I30" s="151">
        <f>COUNTIFS('Matriz Sistema'!$B$7:$B$400,B30,'Matriz Sistema'!$I$7:$I$400,"Cumple en gran medida")</f>
        <v/>
      </c>
      <c r="J30" s="151">
        <f>COUNTIFS('Matriz Sistema'!$B$7:$B$400,B30,'Matriz Sistema'!$I$7:$I$400,"Cumple parcialmente")</f>
        <v/>
      </c>
      <c r="K30" s="151">
        <f>COUNTIFS('Matriz Sistema'!$B$7:$B$400,B30,'Matriz Sistema'!$I$7:$I$400,"Cumplimiento incipiente")</f>
        <v/>
      </c>
      <c r="L30" s="151">
        <f>COUNTIFS('Matriz Sistema'!$B$7:$B$400,B30,'Matriz Sistema'!$I$7:$I$400,"No cumple")</f>
        <v/>
      </c>
      <c r="M30" s="151">
        <f>D30-E30</f>
        <v/>
      </c>
    </row>
    <row r="31" ht="22" customHeight="1">
      <c r="A31" s="108" t="n"/>
      <c r="B31" s="152" t="inlineStr">
        <is>
          <t>12. Canal de denuncias y reporte de soborno transnacional</t>
        </is>
      </c>
      <c r="C31" s="153">
        <f>COUNTIF('Matriz Sistema'!$B$7:$B$400,B31)</f>
        <v/>
      </c>
      <c r="D31" s="153">
        <f>C31-COUNTIFS('Matriz Sistema'!$B$7:$B$400,B31,'Matriz Sistema'!$I$7:$I$400,"No aplica")</f>
        <v/>
      </c>
      <c r="E31" s="153">
        <f>COUNTIFS('Matriz Sistema'!$B$7:$B$400,B31,'Matriz Sistema'!$I$7:$I$400,"?*")-COUNTIFS('Matriz Sistema'!$B$7:$B$400,B31,'Matriz Sistema'!$I$7:$I$400,"No aplica")</f>
        <v/>
      </c>
      <c r="F31" s="154">
        <f>IF(SUMIFS('Matriz Sistema'!$Q$7:$Q$400,'Matriz Sistema'!$B$7:$B$400,B31)=0,"N/A",SUMIFS('Matriz Sistema'!$R$7:$R$400,'Matriz Sistema'!$B$7:$B$400,B31)/SUMIFS('Matriz Sistema'!$Q$7:$Q$400,'Matriz Sistema'!$B$7:$B$400,B31))</f>
        <v/>
      </c>
      <c r="G31" s="153">
        <f>IF(NOT(ISNUMBER(F31)),"N/A",IF(F31&gt;=Escala!$C$14,"Adecuado",IF(F31&gt;=Escala!$C$15,"Aceptable",IF(F31&gt;=Escala!$C$16,"En desarrollo","Crítico"))))</f>
        <v/>
      </c>
      <c r="H31" s="155">
        <f>COUNTIFS('Matriz Sistema'!$B$7:$B$400,B31,'Matriz Sistema'!$I$7:$I$400,"Cumple totalmente")</f>
        <v/>
      </c>
      <c r="I31" s="155">
        <f>COUNTIFS('Matriz Sistema'!$B$7:$B$400,B31,'Matriz Sistema'!$I$7:$I$400,"Cumple en gran medida")</f>
        <v/>
      </c>
      <c r="J31" s="155">
        <f>COUNTIFS('Matriz Sistema'!$B$7:$B$400,B31,'Matriz Sistema'!$I$7:$I$400,"Cumple parcialmente")</f>
        <v/>
      </c>
      <c r="K31" s="155">
        <f>COUNTIFS('Matriz Sistema'!$B$7:$B$400,B31,'Matriz Sistema'!$I$7:$I$400,"Cumplimiento incipiente")</f>
        <v/>
      </c>
      <c r="L31" s="155">
        <f>COUNTIFS('Matriz Sistema'!$B$7:$B$400,B31,'Matriz Sistema'!$I$7:$I$400,"No cumple")</f>
        <v/>
      </c>
      <c r="M31" s="155">
        <f>D31-E31</f>
        <v/>
      </c>
    </row>
    <row r="32" ht="22" customHeight="1">
      <c r="A32" s="108" t="n"/>
      <c r="B32" s="117" t="inlineStr">
        <is>
          <t>13. ROS, AROS y señales de alerta</t>
        </is>
      </c>
      <c r="C32" s="149">
        <f>COUNTIF('Matriz Sistema'!$B$7:$B$400,B32)</f>
        <v/>
      </c>
      <c r="D32" s="149">
        <f>C32-COUNTIFS('Matriz Sistema'!$B$7:$B$400,B32,'Matriz Sistema'!$I$7:$I$400,"No aplica")</f>
        <v/>
      </c>
      <c r="E32" s="149">
        <f>COUNTIFS('Matriz Sistema'!$B$7:$B$400,B32,'Matriz Sistema'!$I$7:$I$400,"?*")-COUNTIFS('Matriz Sistema'!$B$7:$B$400,B32,'Matriz Sistema'!$I$7:$I$400,"No aplica")</f>
        <v/>
      </c>
      <c r="F32" s="150">
        <f>IF(SUMIFS('Matriz Sistema'!$Q$7:$Q$400,'Matriz Sistema'!$B$7:$B$400,B32)=0,"N/A",SUMIFS('Matriz Sistema'!$R$7:$R$400,'Matriz Sistema'!$B$7:$B$400,B32)/SUMIFS('Matriz Sistema'!$Q$7:$Q$400,'Matriz Sistema'!$B$7:$B$400,B32))</f>
        <v/>
      </c>
      <c r="G32" s="149">
        <f>IF(NOT(ISNUMBER(F32)),"N/A",IF(F32&gt;=Escala!$C$14,"Adecuado",IF(F32&gt;=Escala!$C$15,"Aceptable",IF(F32&gt;=Escala!$C$16,"En desarrollo","Crítico"))))</f>
        <v/>
      </c>
      <c r="H32" s="151">
        <f>COUNTIFS('Matriz Sistema'!$B$7:$B$400,B32,'Matriz Sistema'!$I$7:$I$400,"Cumple totalmente")</f>
        <v/>
      </c>
      <c r="I32" s="151">
        <f>COUNTIFS('Matriz Sistema'!$B$7:$B$400,B32,'Matriz Sistema'!$I$7:$I$400,"Cumple en gran medida")</f>
        <v/>
      </c>
      <c r="J32" s="151">
        <f>COUNTIFS('Matriz Sistema'!$B$7:$B$400,B32,'Matriz Sistema'!$I$7:$I$400,"Cumple parcialmente")</f>
        <v/>
      </c>
      <c r="K32" s="151">
        <f>COUNTIFS('Matriz Sistema'!$B$7:$B$400,B32,'Matriz Sistema'!$I$7:$I$400,"Cumplimiento incipiente")</f>
        <v/>
      </c>
      <c r="L32" s="151">
        <f>COUNTIFS('Matriz Sistema'!$B$7:$B$400,B32,'Matriz Sistema'!$I$7:$I$400,"No cumple")</f>
        <v/>
      </c>
      <c r="M32" s="151">
        <f>D32-E32</f>
        <v/>
      </c>
    </row>
    <row r="33" ht="22" customHeight="1">
      <c r="A33" s="108" t="n"/>
      <c r="B33" s="152" t="inlineStr">
        <is>
          <t>14. Conservación de la información</t>
        </is>
      </c>
      <c r="C33" s="153">
        <f>COUNTIF('Matriz Sistema'!$B$7:$B$400,B33)</f>
        <v/>
      </c>
      <c r="D33" s="153">
        <f>C33-COUNTIFS('Matriz Sistema'!$B$7:$B$400,B33,'Matriz Sistema'!$I$7:$I$400,"No aplica")</f>
        <v/>
      </c>
      <c r="E33" s="153">
        <f>COUNTIFS('Matriz Sistema'!$B$7:$B$400,B33,'Matriz Sistema'!$I$7:$I$400,"?*")-COUNTIFS('Matriz Sistema'!$B$7:$B$400,B33,'Matriz Sistema'!$I$7:$I$400,"No aplica")</f>
        <v/>
      </c>
      <c r="F33" s="154">
        <f>IF(SUMIFS('Matriz Sistema'!$Q$7:$Q$400,'Matriz Sistema'!$B$7:$B$400,B33)=0,"N/A",SUMIFS('Matriz Sistema'!$R$7:$R$400,'Matriz Sistema'!$B$7:$B$400,B33)/SUMIFS('Matriz Sistema'!$Q$7:$Q$400,'Matriz Sistema'!$B$7:$B$400,B33))</f>
        <v/>
      </c>
      <c r="G33" s="153">
        <f>IF(NOT(ISNUMBER(F33)),"N/A",IF(F33&gt;=Escala!$C$14,"Adecuado",IF(F33&gt;=Escala!$C$15,"Aceptable",IF(F33&gt;=Escala!$C$16,"En desarrollo","Crítico"))))</f>
        <v/>
      </c>
      <c r="H33" s="155">
        <f>COUNTIFS('Matriz Sistema'!$B$7:$B$400,B33,'Matriz Sistema'!$I$7:$I$400,"Cumple totalmente")</f>
        <v/>
      </c>
      <c r="I33" s="155">
        <f>COUNTIFS('Matriz Sistema'!$B$7:$B$400,B33,'Matriz Sistema'!$I$7:$I$400,"Cumple en gran medida")</f>
        <v/>
      </c>
      <c r="J33" s="155">
        <f>COUNTIFS('Matriz Sistema'!$B$7:$B$400,B33,'Matriz Sistema'!$I$7:$I$400,"Cumple parcialmente")</f>
        <v/>
      </c>
      <c r="K33" s="155">
        <f>COUNTIFS('Matriz Sistema'!$B$7:$B$400,B33,'Matriz Sistema'!$I$7:$I$400,"Cumplimiento incipiente")</f>
        <v/>
      </c>
      <c r="L33" s="155">
        <f>COUNTIFS('Matriz Sistema'!$B$7:$B$400,B33,'Matriz Sistema'!$I$7:$I$400,"No cumple")</f>
        <v/>
      </c>
      <c r="M33" s="155">
        <f>D33-E33</f>
        <v/>
      </c>
    </row>
    <row r="34" ht="22" customHeight="1">
      <c r="A34" s="108" t="n"/>
      <c r="B34" s="117" t="inlineStr">
        <is>
          <t>15. Transición y permanencia</t>
        </is>
      </c>
      <c r="C34" s="149">
        <f>COUNTIF('Matriz Sistema'!$B$7:$B$400,B34)</f>
        <v/>
      </c>
      <c r="D34" s="149">
        <f>C34-COUNTIFS('Matriz Sistema'!$B$7:$B$400,B34,'Matriz Sistema'!$I$7:$I$400,"No aplica")</f>
        <v/>
      </c>
      <c r="E34" s="149">
        <f>COUNTIFS('Matriz Sistema'!$B$7:$B$400,B34,'Matriz Sistema'!$I$7:$I$400,"?*")-COUNTIFS('Matriz Sistema'!$B$7:$B$400,B34,'Matriz Sistema'!$I$7:$I$400,"No aplica")</f>
        <v/>
      </c>
      <c r="F34" s="150">
        <f>IF(SUMIFS('Matriz Sistema'!$Q$7:$Q$400,'Matriz Sistema'!$B$7:$B$400,B34)=0,"N/A",SUMIFS('Matriz Sistema'!$R$7:$R$400,'Matriz Sistema'!$B$7:$B$400,B34)/SUMIFS('Matriz Sistema'!$Q$7:$Q$400,'Matriz Sistema'!$B$7:$B$400,B34))</f>
        <v/>
      </c>
      <c r="G34" s="149">
        <f>IF(NOT(ISNUMBER(F34)),"N/A",IF(F34&gt;=Escala!$C$14,"Adecuado",IF(F34&gt;=Escala!$C$15,"Aceptable",IF(F34&gt;=Escala!$C$16,"En desarrollo","Crítico"))))</f>
        <v/>
      </c>
      <c r="H34" s="151">
        <f>COUNTIFS('Matriz Sistema'!$B$7:$B$400,B34,'Matriz Sistema'!$I$7:$I$400,"Cumple totalmente")</f>
        <v/>
      </c>
      <c r="I34" s="151">
        <f>COUNTIFS('Matriz Sistema'!$B$7:$B$400,B34,'Matriz Sistema'!$I$7:$I$400,"Cumple en gran medida")</f>
        <v/>
      </c>
      <c r="J34" s="151">
        <f>COUNTIFS('Matriz Sistema'!$B$7:$B$400,B34,'Matriz Sistema'!$I$7:$I$400,"Cumple parcialmente")</f>
        <v/>
      </c>
      <c r="K34" s="151">
        <f>COUNTIFS('Matriz Sistema'!$B$7:$B$400,B34,'Matriz Sistema'!$I$7:$I$400,"Cumplimiento incipiente")</f>
        <v/>
      </c>
      <c r="L34" s="151">
        <f>COUNTIFS('Matriz Sistema'!$B$7:$B$400,B34,'Matriz Sistema'!$I$7:$I$400,"No cumple")</f>
        <v/>
      </c>
      <c r="M34" s="151">
        <f>D34-E34</f>
        <v/>
      </c>
    </row>
    <row r="35" ht="24" customHeight="1">
      <c r="A35" s="108" t="n"/>
      <c r="B35" s="156" t="inlineStr">
        <is>
          <t>TOTAL</t>
        </is>
      </c>
      <c r="C35" s="157">
        <f>SUM(C20:C34)</f>
        <v/>
      </c>
      <c r="D35" s="157">
        <f>SUM(D20:D34)</f>
        <v/>
      </c>
      <c r="E35" s="157">
        <f>SUM(E20:E34)</f>
        <v/>
      </c>
      <c r="F35" s="158">
        <f>IF(SUM('Matriz Sistema'!$Q$7:$Q$400)=0,"N/A",SUM('Matriz Sistema'!$R$7:$R$400)/SUM('Matriz Sistema'!$Q$7:$Q$400))</f>
        <v/>
      </c>
      <c r="G35" s="157">
        <f>IF(NOT(ISNUMBER(F35)),"N/A",IF(F35&gt;=Escala!$C$14,"Adecuado",IF(F35&gt;=Escala!$C$15,"Aceptable",IF(F35&gt;=Escala!$C$16,"En desarrollo","Crítico"))))</f>
        <v/>
      </c>
      <c r="H35" s="157">
        <f>SUM(H20:H34)</f>
        <v/>
      </c>
      <c r="I35" s="157">
        <f>SUM(I20:I34)</f>
        <v/>
      </c>
      <c r="J35" s="157">
        <f>SUM(J20:J34)</f>
        <v/>
      </c>
      <c r="K35" s="157">
        <f>SUM(K20:K34)</f>
        <v/>
      </c>
      <c r="L35" s="157">
        <f>SUM(L20:L34)</f>
        <v/>
      </c>
      <c r="M35" s="157">
        <f>SUM(M20:M34)</f>
        <v/>
      </c>
    </row>
    <row r="36">
      <c r="A36" s="108" t="n"/>
      <c r="B36" s="159" t="inlineStr">
        <is>
          <t>El % de cada componente es el promedio ponderado por peso de los requisitos que aplican. Sin calificar = 0%. 'No aplica' se excluye.</t>
        </is>
      </c>
      <c r="C36" s="108" t="n"/>
      <c r="D36" s="108" t="n"/>
      <c r="E36" s="108" t="n"/>
      <c r="F36" s="108" t="n"/>
      <c r="G36" s="108" t="n"/>
      <c r="H36" s="108" t="n"/>
      <c r="I36" s="108" t="n"/>
      <c r="J36" s="108" t="n"/>
      <c r="K36" s="108" t="n"/>
      <c r="L36" s="108" t="n"/>
      <c r="M36" s="108" t="n"/>
    </row>
    <row r="37">
      <c r="A37" s="108" t="n"/>
      <c r="B37" s="108" t="n"/>
      <c r="C37" s="108" t="n"/>
      <c r="D37" s="108" t="n"/>
      <c r="E37" s="108" t="n"/>
      <c r="F37" s="108" t="n"/>
      <c r="G37" s="108" t="n"/>
      <c r="H37" s="108" t="n"/>
      <c r="I37" s="108" t="n"/>
      <c r="J37" s="108" t="n"/>
      <c r="K37" s="108" t="n"/>
      <c r="L37" s="108" t="n"/>
      <c r="M37" s="108" t="n"/>
    </row>
    <row r="38">
      <c r="A38" s="108" t="n"/>
      <c r="B38" s="108" t="n"/>
      <c r="C38" s="108" t="n"/>
      <c r="D38" s="108" t="n"/>
      <c r="E38" s="108" t="n"/>
      <c r="F38" s="108" t="n"/>
      <c r="G38" s="108" t="n"/>
      <c r="H38" s="108" t="n"/>
      <c r="I38" s="108" t="n"/>
      <c r="J38" s="108" t="n"/>
      <c r="K38" s="108" t="n"/>
      <c r="L38" s="108" t="n"/>
      <c r="M38" s="108" t="n"/>
    </row>
    <row r="39">
      <c r="A39" s="108" t="n"/>
      <c r="B39" s="147" t="inlineStr">
        <is>
          <t>Régimen de Medidas Mínimas (RMM) · resultado por componente</t>
        </is>
      </c>
      <c r="C39" s="108" t="n"/>
      <c r="D39" s="108" t="n"/>
      <c r="E39" s="108" t="n"/>
      <c r="F39" s="108" t="n"/>
      <c r="G39" s="108" t="n"/>
      <c r="H39" s="108" t="n"/>
      <c r="I39" s="108" t="n"/>
      <c r="J39" s="108" t="n"/>
      <c r="K39" s="108" t="n"/>
      <c r="L39" s="108" t="n"/>
      <c r="M39" s="108" t="n"/>
    </row>
    <row r="40" ht="30" customHeight="1">
      <c r="A40" s="108" t="n"/>
      <c r="B40" s="114" t="inlineStr">
        <is>
          <t>Componente</t>
        </is>
      </c>
      <c r="C40" s="148" t="inlineStr">
        <is>
          <t>Requisitos</t>
        </is>
      </c>
      <c r="D40" s="148" t="inlineStr">
        <is>
          <t>Aplican</t>
        </is>
      </c>
      <c r="E40" s="148" t="inlineStr">
        <is>
          <t>Calificados</t>
        </is>
      </c>
      <c r="F40" s="148" t="inlineStr">
        <is>
          <t>% cumplimiento</t>
        </is>
      </c>
      <c r="G40" s="148" t="inlineStr">
        <is>
          <t>Nivel</t>
        </is>
      </c>
      <c r="H40" s="148" t="inlineStr">
        <is>
          <t>Cumple totalmente</t>
        </is>
      </c>
      <c r="I40" s="148" t="inlineStr">
        <is>
          <t>En gran medida</t>
        </is>
      </c>
      <c r="J40" s="148" t="inlineStr">
        <is>
          <t>Parcialmente</t>
        </is>
      </c>
      <c r="K40" s="148" t="inlineStr">
        <is>
          <t>Incipiente</t>
        </is>
      </c>
      <c r="L40" s="148" t="inlineStr">
        <is>
          <t>No cumple</t>
        </is>
      </c>
      <c r="M40" s="148" t="inlineStr">
        <is>
          <t>Sin calificar</t>
        </is>
      </c>
    </row>
    <row r="41" ht="22" customHeight="1">
      <c r="A41" s="108" t="n"/>
      <c r="B41" s="117" t="inlineStr">
        <is>
          <t>01. Análisis de riesgo y responsable</t>
        </is>
      </c>
      <c r="C41" s="149">
        <f>COUNTIF('Matriz RMM'!$B$7:$B$400,B41)</f>
        <v/>
      </c>
      <c r="D41" s="149">
        <f>C41-COUNTIFS('Matriz RMM'!$B$7:$B$400,B41,'Matriz RMM'!$I$7:$I$400,"No aplica")</f>
        <v/>
      </c>
      <c r="E41" s="149">
        <f>COUNTIFS('Matriz RMM'!$B$7:$B$400,B41,'Matriz RMM'!$I$7:$I$400,"?*")-COUNTIFS('Matriz RMM'!$B$7:$B$400,B41,'Matriz RMM'!$I$7:$I$400,"No aplica")</f>
        <v/>
      </c>
      <c r="F41" s="150">
        <f>IF(SUMIFS('Matriz RMM'!$Q$7:$Q$400,'Matriz RMM'!$B$7:$B$400,B41)=0,"N/A",SUMIFS('Matriz RMM'!$R$7:$R$400,'Matriz RMM'!$B$7:$B$400,B41)/SUMIFS('Matriz RMM'!$Q$7:$Q$400,'Matriz RMM'!$B$7:$B$400,B41))</f>
        <v/>
      </c>
      <c r="G41" s="149">
        <f>IF(NOT(ISNUMBER(F41)),"N/A",IF(F41&gt;=Escala!$C$14,"Adecuado",IF(F41&gt;=Escala!$C$15,"Aceptable",IF(F41&gt;=Escala!$C$16,"En desarrollo","Crítico"))))</f>
        <v/>
      </c>
      <c r="H41" s="151">
        <f>COUNTIFS('Matriz RMM'!$B$7:$B$400,B41,'Matriz RMM'!$I$7:$I$400,"Cumple totalmente")</f>
        <v/>
      </c>
      <c r="I41" s="151">
        <f>COUNTIFS('Matriz RMM'!$B$7:$B$400,B41,'Matriz RMM'!$I$7:$I$400,"Cumple en gran medida")</f>
        <v/>
      </c>
      <c r="J41" s="151">
        <f>COUNTIFS('Matriz RMM'!$B$7:$B$400,B41,'Matriz RMM'!$I$7:$I$400,"Cumple parcialmente")</f>
        <v/>
      </c>
      <c r="K41" s="151">
        <f>COUNTIFS('Matriz RMM'!$B$7:$B$400,B41,'Matriz RMM'!$I$7:$I$400,"Cumplimiento incipiente")</f>
        <v/>
      </c>
      <c r="L41" s="151">
        <f>COUNTIFS('Matriz RMM'!$B$7:$B$400,B41,'Matriz RMM'!$I$7:$I$400,"No cumple")</f>
        <v/>
      </c>
      <c r="M41" s="151">
        <f>D41-E41</f>
        <v/>
      </c>
    </row>
    <row r="42" ht="22" customHeight="1">
      <c r="A42" s="108" t="n"/>
      <c r="B42" s="152" t="inlineStr">
        <is>
          <t>02. Diseño y aprobación del RMM</t>
        </is>
      </c>
      <c r="C42" s="153">
        <f>COUNTIF('Matriz RMM'!$B$7:$B$400,B42)</f>
        <v/>
      </c>
      <c r="D42" s="153">
        <f>C42-COUNTIFS('Matriz RMM'!$B$7:$B$400,B42,'Matriz RMM'!$I$7:$I$400,"No aplica")</f>
        <v/>
      </c>
      <c r="E42" s="153">
        <f>COUNTIFS('Matriz RMM'!$B$7:$B$400,B42,'Matriz RMM'!$I$7:$I$400,"?*")-COUNTIFS('Matriz RMM'!$B$7:$B$400,B42,'Matriz RMM'!$I$7:$I$400,"No aplica")</f>
        <v/>
      </c>
      <c r="F42" s="154">
        <f>IF(SUMIFS('Matriz RMM'!$Q$7:$Q$400,'Matriz RMM'!$B$7:$B$400,B42)=0,"N/A",SUMIFS('Matriz RMM'!$R$7:$R$400,'Matriz RMM'!$B$7:$B$400,B42)/SUMIFS('Matriz RMM'!$Q$7:$Q$400,'Matriz RMM'!$B$7:$B$400,B42))</f>
        <v/>
      </c>
      <c r="G42" s="153">
        <f>IF(NOT(ISNUMBER(F42)),"N/A",IF(F42&gt;=Escala!$C$14,"Adecuado",IF(F42&gt;=Escala!$C$15,"Aceptable",IF(F42&gt;=Escala!$C$16,"En desarrollo","Crítico"))))</f>
        <v/>
      </c>
      <c r="H42" s="155">
        <f>COUNTIFS('Matriz RMM'!$B$7:$B$400,B42,'Matriz RMM'!$I$7:$I$400,"Cumple totalmente")</f>
        <v/>
      </c>
      <c r="I42" s="155">
        <f>COUNTIFS('Matriz RMM'!$B$7:$B$400,B42,'Matriz RMM'!$I$7:$I$400,"Cumple en gran medida")</f>
        <v/>
      </c>
      <c r="J42" s="155">
        <f>COUNTIFS('Matriz RMM'!$B$7:$B$400,B42,'Matriz RMM'!$I$7:$I$400,"Cumple parcialmente")</f>
        <v/>
      </c>
      <c r="K42" s="155">
        <f>COUNTIFS('Matriz RMM'!$B$7:$B$400,B42,'Matriz RMM'!$I$7:$I$400,"Cumplimiento incipiente")</f>
        <v/>
      </c>
      <c r="L42" s="155">
        <f>COUNTIFS('Matriz RMM'!$B$7:$B$400,B42,'Matriz RMM'!$I$7:$I$400,"No cumple")</f>
        <v/>
      </c>
      <c r="M42" s="155">
        <f>D42-E42</f>
        <v/>
      </c>
    </row>
    <row r="43" ht="22" customHeight="1">
      <c r="A43" s="108" t="n"/>
      <c r="B43" s="117" t="inlineStr">
        <is>
          <t>03. Divulgación y capacitación</t>
        </is>
      </c>
      <c r="C43" s="149">
        <f>COUNTIF('Matriz RMM'!$B$7:$B$400,B43)</f>
        <v/>
      </c>
      <c r="D43" s="149">
        <f>C43-COUNTIFS('Matriz RMM'!$B$7:$B$400,B43,'Matriz RMM'!$I$7:$I$400,"No aplica")</f>
        <v/>
      </c>
      <c r="E43" s="149">
        <f>COUNTIFS('Matriz RMM'!$B$7:$B$400,B43,'Matriz RMM'!$I$7:$I$400,"?*")-COUNTIFS('Matriz RMM'!$B$7:$B$400,B43,'Matriz RMM'!$I$7:$I$400,"No aplica")</f>
        <v/>
      </c>
      <c r="F43" s="150">
        <f>IF(SUMIFS('Matriz RMM'!$Q$7:$Q$400,'Matriz RMM'!$B$7:$B$400,B43)=0,"N/A",SUMIFS('Matriz RMM'!$R$7:$R$400,'Matriz RMM'!$B$7:$B$400,B43)/SUMIFS('Matriz RMM'!$Q$7:$Q$400,'Matriz RMM'!$B$7:$B$400,B43))</f>
        <v/>
      </c>
      <c r="G43" s="149">
        <f>IF(NOT(ISNUMBER(F43)),"N/A",IF(F43&gt;=Escala!$C$14,"Adecuado",IF(F43&gt;=Escala!$C$15,"Aceptable",IF(F43&gt;=Escala!$C$16,"En desarrollo","Crítico"))))</f>
        <v/>
      </c>
      <c r="H43" s="151">
        <f>COUNTIFS('Matriz RMM'!$B$7:$B$400,B43,'Matriz RMM'!$I$7:$I$400,"Cumple totalmente")</f>
        <v/>
      </c>
      <c r="I43" s="151">
        <f>COUNTIFS('Matriz RMM'!$B$7:$B$400,B43,'Matriz RMM'!$I$7:$I$400,"Cumple en gran medida")</f>
        <v/>
      </c>
      <c r="J43" s="151">
        <f>COUNTIFS('Matriz RMM'!$B$7:$B$400,B43,'Matriz RMM'!$I$7:$I$400,"Cumple parcialmente")</f>
        <v/>
      </c>
      <c r="K43" s="151">
        <f>COUNTIFS('Matriz RMM'!$B$7:$B$400,B43,'Matriz RMM'!$I$7:$I$400,"Cumplimiento incipiente")</f>
        <v/>
      </c>
      <c r="L43" s="151">
        <f>COUNTIFS('Matriz RMM'!$B$7:$B$400,B43,'Matriz RMM'!$I$7:$I$400,"No cumple")</f>
        <v/>
      </c>
      <c r="M43" s="151">
        <f>D43-E43</f>
        <v/>
      </c>
    </row>
    <row r="44" ht="22" customHeight="1">
      <c r="A44" s="108" t="n"/>
      <c r="B44" s="152" t="inlineStr">
        <is>
          <t>04. Debida diligencia</t>
        </is>
      </c>
      <c r="C44" s="153">
        <f>COUNTIF('Matriz RMM'!$B$7:$B$400,B44)</f>
        <v/>
      </c>
      <c r="D44" s="153">
        <f>C44-COUNTIFS('Matriz RMM'!$B$7:$B$400,B44,'Matriz RMM'!$I$7:$I$400,"No aplica")</f>
        <v/>
      </c>
      <c r="E44" s="153">
        <f>COUNTIFS('Matriz RMM'!$B$7:$B$400,B44,'Matriz RMM'!$I$7:$I$400,"?*")-COUNTIFS('Matriz RMM'!$B$7:$B$400,B44,'Matriz RMM'!$I$7:$I$400,"No aplica")</f>
        <v/>
      </c>
      <c r="F44" s="154">
        <f>IF(SUMIFS('Matriz RMM'!$Q$7:$Q$400,'Matriz RMM'!$B$7:$B$400,B44)=0,"N/A",SUMIFS('Matriz RMM'!$R$7:$R$400,'Matriz RMM'!$B$7:$B$400,B44)/SUMIFS('Matriz RMM'!$Q$7:$Q$400,'Matriz RMM'!$B$7:$B$400,B44))</f>
        <v/>
      </c>
      <c r="G44" s="153">
        <f>IF(NOT(ISNUMBER(F44)),"N/A",IF(F44&gt;=Escala!$C$14,"Adecuado",IF(F44&gt;=Escala!$C$15,"Aceptable",IF(F44&gt;=Escala!$C$16,"En desarrollo","Crítico"))))</f>
        <v/>
      </c>
      <c r="H44" s="155">
        <f>COUNTIFS('Matriz RMM'!$B$7:$B$400,B44,'Matriz RMM'!$I$7:$I$400,"Cumple totalmente")</f>
        <v/>
      </c>
      <c r="I44" s="155">
        <f>COUNTIFS('Matriz RMM'!$B$7:$B$400,B44,'Matriz RMM'!$I$7:$I$400,"Cumple en gran medida")</f>
        <v/>
      </c>
      <c r="J44" s="155">
        <f>COUNTIFS('Matriz RMM'!$B$7:$B$400,B44,'Matriz RMM'!$I$7:$I$400,"Cumple parcialmente")</f>
        <v/>
      </c>
      <c r="K44" s="155">
        <f>COUNTIFS('Matriz RMM'!$B$7:$B$400,B44,'Matriz RMM'!$I$7:$I$400,"Cumplimiento incipiente")</f>
        <v/>
      </c>
      <c r="L44" s="155">
        <f>COUNTIFS('Matriz RMM'!$B$7:$B$400,B44,'Matriz RMM'!$I$7:$I$400,"No cumple")</f>
        <v/>
      </c>
      <c r="M44" s="155">
        <f>D44-E44</f>
        <v/>
      </c>
    </row>
    <row r="45" ht="22" customHeight="1">
      <c r="A45" s="108" t="n"/>
      <c r="B45" s="117" t="inlineStr">
        <is>
          <t>05. Reportes y canales</t>
        </is>
      </c>
      <c r="C45" s="149">
        <f>COUNTIF('Matriz RMM'!$B$7:$B$400,B45)</f>
        <v/>
      </c>
      <c r="D45" s="149">
        <f>C45-COUNTIFS('Matriz RMM'!$B$7:$B$400,B45,'Matriz RMM'!$I$7:$I$400,"No aplica")</f>
        <v/>
      </c>
      <c r="E45" s="149">
        <f>COUNTIFS('Matriz RMM'!$B$7:$B$400,B45,'Matriz RMM'!$I$7:$I$400,"?*")-COUNTIFS('Matriz RMM'!$B$7:$B$400,B45,'Matriz RMM'!$I$7:$I$400,"No aplica")</f>
        <v/>
      </c>
      <c r="F45" s="150">
        <f>IF(SUMIFS('Matriz RMM'!$Q$7:$Q$400,'Matriz RMM'!$B$7:$B$400,B45)=0,"N/A",SUMIFS('Matriz RMM'!$R$7:$R$400,'Matriz RMM'!$B$7:$B$400,B45)/SUMIFS('Matriz RMM'!$Q$7:$Q$400,'Matriz RMM'!$B$7:$B$400,B45))</f>
        <v/>
      </c>
      <c r="G45" s="149">
        <f>IF(NOT(ISNUMBER(F45)),"N/A",IF(F45&gt;=Escala!$C$14,"Adecuado",IF(F45&gt;=Escala!$C$15,"Aceptable",IF(F45&gt;=Escala!$C$16,"En desarrollo","Crítico"))))</f>
        <v/>
      </c>
      <c r="H45" s="151">
        <f>COUNTIFS('Matriz RMM'!$B$7:$B$400,B45,'Matriz RMM'!$I$7:$I$400,"Cumple totalmente")</f>
        <v/>
      </c>
      <c r="I45" s="151">
        <f>COUNTIFS('Matriz RMM'!$B$7:$B$400,B45,'Matriz RMM'!$I$7:$I$400,"Cumple en gran medida")</f>
        <v/>
      </c>
      <c r="J45" s="151">
        <f>COUNTIFS('Matriz RMM'!$B$7:$B$400,B45,'Matriz RMM'!$I$7:$I$400,"Cumple parcialmente")</f>
        <v/>
      </c>
      <c r="K45" s="151">
        <f>COUNTIFS('Matriz RMM'!$B$7:$B$400,B45,'Matriz RMM'!$I$7:$I$400,"Cumplimiento incipiente")</f>
        <v/>
      </c>
      <c r="L45" s="151">
        <f>COUNTIFS('Matriz RMM'!$B$7:$B$400,B45,'Matriz RMM'!$I$7:$I$400,"No cumple")</f>
        <v/>
      </c>
      <c r="M45" s="151">
        <f>D45-E45</f>
        <v/>
      </c>
    </row>
    <row r="46" ht="22" customHeight="1">
      <c r="A46" s="108" t="n"/>
      <c r="B46" s="152" t="inlineStr">
        <is>
          <t>06. Conservación de la información</t>
        </is>
      </c>
      <c r="C46" s="153">
        <f>COUNTIF('Matriz RMM'!$B$7:$B$400,B46)</f>
        <v/>
      </c>
      <c r="D46" s="153">
        <f>C46-COUNTIFS('Matriz RMM'!$B$7:$B$400,B46,'Matriz RMM'!$I$7:$I$400,"No aplica")</f>
        <v/>
      </c>
      <c r="E46" s="153">
        <f>COUNTIFS('Matriz RMM'!$B$7:$B$400,B46,'Matriz RMM'!$I$7:$I$400,"?*")-COUNTIFS('Matriz RMM'!$B$7:$B$400,B46,'Matriz RMM'!$I$7:$I$400,"No aplica")</f>
        <v/>
      </c>
      <c r="F46" s="154">
        <f>IF(SUMIFS('Matriz RMM'!$Q$7:$Q$400,'Matriz RMM'!$B$7:$B$400,B46)=0,"N/A",SUMIFS('Matriz RMM'!$R$7:$R$400,'Matriz RMM'!$B$7:$B$400,B46)/SUMIFS('Matriz RMM'!$Q$7:$Q$400,'Matriz RMM'!$B$7:$B$400,B46))</f>
        <v/>
      </c>
      <c r="G46" s="153">
        <f>IF(NOT(ISNUMBER(F46)),"N/A",IF(F46&gt;=Escala!$C$14,"Adecuado",IF(F46&gt;=Escala!$C$15,"Aceptable",IF(F46&gt;=Escala!$C$16,"En desarrollo","Crítico"))))</f>
        <v/>
      </c>
      <c r="H46" s="155">
        <f>COUNTIFS('Matriz RMM'!$B$7:$B$400,B46,'Matriz RMM'!$I$7:$I$400,"Cumple totalmente")</f>
        <v/>
      </c>
      <c r="I46" s="155">
        <f>COUNTIFS('Matriz RMM'!$B$7:$B$400,B46,'Matriz RMM'!$I$7:$I$400,"Cumple en gran medida")</f>
        <v/>
      </c>
      <c r="J46" s="155">
        <f>COUNTIFS('Matriz RMM'!$B$7:$B$400,B46,'Matriz RMM'!$I$7:$I$400,"Cumple parcialmente")</f>
        <v/>
      </c>
      <c r="K46" s="155">
        <f>COUNTIFS('Matriz RMM'!$B$7:$B$400,B46,'Matriz RMM'!$I$7:$I$400,"Cumplimiento incipiente")</f>
        <v/>
      </c>
      <c r="L46" s="155">
        <f>COUNTIFS('Matriz RMM'!$B$7:$B$400,B46,'Matriz RMM'!$I$7:$I$400,"No cumple")</f>
        <v/>
      </c>
      <c r="M46" s="155">
        <f>D46-E46</f>
        <v/>
      </c>
    </row>
    <row r="47" ht="22" customHeight="1">
      <c r="A47" s="108" t="n"/>
      <c r="B47" s="117" t="inlineStr">
        <is>
          <t>07. Transición y permanencia</t>
        </is>
      </c>
      <c r="C47" s="149">
        <f>COUNTIF('Matriz RMM'!$B$7:$B$400,B47)</f>
        <v/>
      </c>
      <c r="D47" s="149">
        <f>C47-COUNTIFS('Matriz RMM'!$B$7:$B$400,B47,'Matriz RMM'!$I$7:$I$400,"No aplica")</f>
        <v/>
      </c>
      <c r="E47" s="149">
        <f>COUNTIFS('Matriz RMM'!$B$7:$B$400,B47,'Matriz RMM'!$I$7:$I$400,"?*")-COUNTIFS('Matriz RMM'!$B$7:$B$400,B47,'Matriz RMM'!$I$7:$I$400,"No aplica")</f>
        <v/>
      </c>
      <c r="F47" s="150">
        <f>IF(SUMIFS('Matriz RMM'!$Q$7:$Q$400,'Matriz RMM'!$B$7:$B$400,B47)=0,"N/A",SUMIFS('Matriz RMM'!$R$7:$R$400,'Matriz RMM'!$B$7:$B$400,B47)/SUMIFS('Matriz RMM'!$Q$7:$Q$400,'Matriz RMM'!$B$7:$B$400,B47))</f>
        <v/>
      </c>
      <c r="G47" s="149">
        <f>IF(NOT(ISNUMBER(F47)),"N/A",IF(F47&gt;=Escala!$C$14,"Adecuado",IF(F47&gt;=Escala!$C$15,"Aceptable",IF(F47&gt;=Escala!$C$16,"En desarrollo","Crítico"))))</f>
        <v/>
      </c>
      <c r="H47" s="151">
        <f>COUNTIFS('Matriz RMM'!$B$7:$B$400,B47,'Matriz RMM'!$I$7:$I$400,"Cumple totalmente")</f>
        <v/>
      </c>
      <c r="I47" s="151">
        <f>COUNTIFS('Matriz RMM'!$B$7:$B$400,B47,'Matriz RMM'!$I$7:$I$400,"Cumple en gran medida")</f>
        <v/>
      </c>
      <c r="J47" s="151">
        <f>COUNTIFS('Matriz RMM'!$B$7:$B$400,B47,'Matriz RMM'!$I$7:$I$400,"Cumple parcialmente")</f>
        <v/>
      </c>
      <c r="K47" s="151">
        <f>COUNTIFS('Matriz RMM'!$B$7:$B$400,B47,'Matriz RMM'!$I$7:$I$400,"Cumplimiento incipiente")</f>
        <v/>
      </c>
      <c r="L47" s="151">
        <f>COUNTIFS('Matriz RMM'!$B$7:$B$400,B47,'Matriz RMM'!$I$7:$I$400,"No cumple")</f>
        <v/>
      </c>
      <c r="M47" s="151">
        <f>D47-E47</f>
        <v/>
      </c>
    </row>
    <row r="48" ht="24" customHeight="1">
      <c r="A48" s="108" t="n"/>
      <c r="B48" s="156" t="inlineStr">
        <is>
          <t>TOTAL</t>
        </is>
      </c>
      <c r="C48" s="157">
        <f>SUM(C41:C47)</f>
        <v/>
      </c>
      <c r="D48" s="157">
        <f>SUM(D41:D47)</f>
        <v/>
      </c>
      <c r="E48" s="157">
        <f>SUM(E41:E47)</f>
        <v/>
      </c>
      <c r="F48" s="158">
        <f>IF(SUM('Matriz RMM'!$Q$7:$Q$400)=0,"N/A",SUM('Matriz RMM'!$R$7:$R$400)/SUM('Matriz RMM'!$Q$7:$Q$400))</f>
        <v/>
      </c>
      <c r="G48" s="157">
        <f>IF(NOT(ISNUMBER(F48)),"N/A",IF(F48&gt;=Escala!$C$14,"Adecuado",IF(F48&gt;=Escala!$C$15,"Aceptable",IF(F48&gt;=Escala!$C$16,"En desarrollo","Crítico"))))</f>
        <v/>
      </c>
      <c r="H48" s="157">
        <f>SUM(H41:H47)</f>
        <v/>
      </c>
      <c r="I48" s="157">
        <f>SUM(I41:I47)</f>
        <v/>
      </c>
      <c r="J48" s="157">
        <f>SUM(J41:J47)</f>
        <v/>
      </c>
      <c r="K48" s="157">
        <f>SUM(K41:K47)</f>
        <v/>
      </c>
      <c r="L48" s="157">
        <f>SUM(L41:L47)</f>
        <v/>
      </c>
      <c r="M48" s="157">
        <f>SUM(M41:M47)</f>
        <v/>
      </c>
    </row>
  </sheetData>
  <mergeCells count="19">
    <mergeCell ref="C9:E9"/>
    <mergeCell ref="F13:G14"/>
    <mergeCell ref="H13:I14"/>
    <mergeCell ref="F12:G12"/>
    <mergeCell ref="L12:M12"/>
    <mergeCell ref="F15:G15"/>
    <mergeCell ref="J15:K15"/>
    <mergeCell ref="C8:E8"/>
    <mergeCell ref="L15:M15"/>
    <mergeCell ref="C7:E7"/>
    <mergeCell ref="B4:M4"/>
    <mergeCell ref="J13:K14"/>
    <mergeCell ref="C6:E6"/>
    <mergeCell ref="L13:M14"/>
    <mergeCell ref="H12:I12"/>
    <mergeCell ref="J12:K12"/>
    <mergeCell ref="H15:I15"/>
    <mergeCell ref="B13:E15"/>
    <mergeCell ref="C10:E10"/>
  </mergeCells>
  <conditionalFormatting sqref="G20:G35">
    <cfRule type="expression" priority="1" dxfId="0">
      <formula>G20="Adecuado"</formula>
    </cfRule>
    <cfRule type="expression" priority="2" dxfId="1">
      <formula>G20="Aceptable"</formula>
    </cfRule>
    <cfRule type="expression" priority="3" dxfId="2">
      <formula>G20="En desarrollo"</formula>
    </cfRule>
    <cfRule type="expression" priority="4" dxfId="3">
      <formula>G20="Crítico"</formula>
    </cfRule>
  </conditionalFormatting>
  <conditionalFormatting sqref="F20:F35">
    <cfRule type="expression" priority="5" dxfId="4" stopIfTrue="1">
      <formula>AND(ISNUMBER(F20),F20&gt;=Escala!$C$14)</formula>
    </cfRule>
    <cfRule type="expression" priority="6" dxfId="5" stopIfTrue="1">
      <formula>AND(ISNUMBER(F20),F20&gt;=Escala!$C$15)</formula>
    </cfRule>
    <cfRule type="expression" priority="7" dxfId="6" stopIfTrue="1">
      <formula>AND(ISNUMBER(F20),F20&gt;=Escala!$C$16)</formula>
    </cfRule>
    <cfRule type="expression" priority="8" dxfId="7" stopIfTrue="1">
      <formula>ISNUMBER(F20)</formula>
    </cfRule>
    <cfRule type="dataBar" priority="9">
      <dataBar showValue="1">
        <cfvo type="num" val="0"/>
        <cfvo type="num" val="1"/>
        <color rgb="FFE3B8B2"/>
      </dataBar>
    </cfRule>
  </conditionalFormatting>
  <conditionalFormatting sqref="G41:G48">
    <cfRule type="expression" priority="10" dxfId="0">
      <formula>G41="Adecuado"</formula>
    </cfRule>
    <cfRule type="expression" priority="11" dxfId="1">
      <formula>G41="Aceptable"</formula>
    </cfRule>
    <cfRule type="expression" priority="12" dxfId="2">
      <formula>G41="En desarrollo"</formula>
    </cfRule>
    <cfRule type="expression" priority="13" dxfId="3">
      <formula>G41="Crítico"</formula>
    </cfRule>
  </conditionalFormatting>
  <conditionalFormatting sqref="F41:F48">
    <cfRule type="expression" priority="14" dxfId="4" stopIfTrue="1">
      <formula>AND(ISNUMBER(F41),F41&gt;=Escala!$C$14)</formula>
    </cfRule>
    <cfRule type="expression" priority="15" dxfId="5" stopIfTrue="1">
      <formula>AND(ISNUMBER(F41),F41&gt;=Escala!$C$15)</formula>
    </cfRule>
    <cfRule type="expression" priority="16" dxfId="6" stopIfTrue="1">
      <formula>AND(ISNUMBER(F41),F41&gt;=Escala!$C$16)</formula>
    </cfRule>
    <cfRule type="expression" priority="17" dxfId="7" stopIfTrue="1">
      <formula>ISNUMBER(F41)</formula>
    </cfRule>
    <cfRule type="dataBar" priority="18">
      <dataBar showValue="1">
        <cfvo type="num" val="0"/>
        <cfvo type="num" val="1"/>
        <color rgb="FFE3B8B2"/>
      </dataBar>
    </cfRule>
  </conditionalFormatting>
  <conditionalFormatting sqref="F15">
    <cfRule type="expression" priority="19" dxfId="0">
      <formula>F15="Adecuado"</formula>
    </cfRule>
    <cfRule type="expression" priority="20" dxfId="1">
      <formula>F15="Aceptable"</formula>
    </cfRule>
    <cfRule type="expression" priority="21" dxfId="2">
      <formula>F15="En desarrollo"</formula>
    </cfRule>
    <cfRule type="expression" priority="22" dxfId="3">
      <formula>F15="Crítico"</formula>
    </cfRule>
  </conditionalFormatting>
  <conditionalFormatting sqref="F13">
    <cfRule type="expression" priority="23" dxfId="4" stopIfTrue="1">
      <formula>AND(ISNUMBER(F13),F13&gt;=Escala!$C$14)</formula>
    </cfRule>
    <cfRule type="expression" priority="24" dxfId="5" stopIfTrue="1">
      <formula>AND(ISNUMBER(F13),F13&gt;=Escala!$C$15)</formula>
    </cfRule>
    <cfRule type="expression" priority="25" dxfId="6" stopIfTrue="1">
      <formula>AND(ISNUMBER(F13),F13&gt;=Escala!$C$16)</formula>
    </cfRule>
    <cfRule type="expression" priority="26" dxfId="7" stopIfTrue="1">
      <formula>ISNUMBER(F13)</formula>
    </cfRule>
  </conditionalFormatting>
  <dataValidations count="1">
    <dataValidation sqref="C8" showDropDown="0" showInputMessage="0" showErrorMessage="0" allowBlank="0" type="list">
      <formula1>=Escala!$F$5:$F$6</formula1>
    </dataValidation>
  </dataValidations>
  <pageMargins left="0.75" right="0.75" top="1" bottom="1" header="0.5" footer="0.5"/>
  <pageSetup orientation="landscape" fitToHeight="0" fitToWidth="1"/>
  <headerFooter>
    <oddHeader>&amp;L&amp;"Georgia,Bold"&amp;KA12B22Criterio Compliance&amp;R&amp;K57534A&amp;A</oddHeader>
    <oddFooter>&amp;L&amp;8 &amp;K57534Acriteriocompliance.com · Herramienta orientativa: no reemplaza la asesoría profesional&amp;R&amp;8 Pág. &amp;P de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tabColor rgb="0057534A"/>
    <outlinePr summaryBelow="1" summaryRight="1"/>
    <pageSetUpPr fitToPage="1"/>
  </sheetPr>
  <dimension ref="A1:F36"/>
  <sheetViews>
    <sheetView showGridLines="0" workbookViewId="0">
      <selection activeCell="A1" sqref="A1"/>
    </sheetView>
  </sheetViews>
  <sheetFormatPr baseColWidth="8" defaultRowHeight="15"/>
  <cols>
    <col width="60" customWidth="1" min="1" max="1"/>
    <col width="44" customWidth="1" min="2" max="2"/>
    <col width="30" customWidth="1" min="3" max="3"/>
    <col width="50" customWidth="1" min="4" max="4"/>
    <col width="13" customWidth="1" min="5" max="5"/>
    <col width="20" customWidth="1" min="6" max="6"/>
  </cols>
  <sheetData>
    <row r="1">
      <c r="A1" s="110" t="inlineStr">
        <is>
          <t>¿Qué régimen me aplica?</t>
        </is>
      </c>
      <c r="B1" s="108" t="n"/>
      <c r="C1" s="108" t="n"/>
      <c r="D1" s="108" t="n"/>
      <c r="E1" s="108" t="n"/>
      <c r="F1" s="108" t="n"/>
    </row>
    <row r="2">
      <c r="A2" s="112" t="inlineStr">
        <is>
          <t>Ámbito de aplicación (num. 9.4 a 9.6 y 9.23 a 9.24). Herramienta orientativa: prevalece el texto de la Circular. Umbrales en UVB con corte al 31 de diciembre del año anterior.</t>
        </is>
      </c>
      <c r="B2" s="108" t="n"/>
      <c r="C2" s="108" t="n"/>
      <c r="D2" s="108" t="n"/>
      <c r="E2" s="108" t="n"/>
      <c r="F2" s="108" t="n"/>
    </row>
    <row r="3">
      <c r="A3" s="129" t="inlineStr">
        <is>
          <t>Criterio Compliance · criteriocompliance.com   ·   Herramienta orientativa de autodiagnóstico. No reemplaza la asesoría de un profesional ni constituye una certificación de cumplimiento.</t>
        </is>
      </c>
    </row>
    <row r="4" ht="22" customHeight="1">
      <c r="A4" s="114" t="inlineStr">
        <is>
          <t>1 · DATOS DE ENTRADA</t>
        </is>
      </c>
      <c r="B4" s="115" t="n"/>
      <c r="C4" s="108" t="n"/>
      <c r="D4" s="160" t="inlineStr">
        <is>
          <t>UMBRALES</t>
        </is>
      </c>
      <c r="E4" s="161" t="inlineStr">
        <is>
          <t>UVB</t>
        </is>
      </c>
      <c r="F4" s="161" t="inlineStr">
        <is>
          <t>Numeral / pág.</t>
        </is>
      </c>
    </row>
    <row r="5" ht="30" customHeight="1">
      <c r="A5" s="117" t="inlineStr">
        <is>
          <t>Tipo de entidad</t>
        </is>
      </c>
      <c r="B5" s="162" t="inlineStr">
        <is>
          <t>Sociedad, empresa unipersonal o sucursal</t>
        </is>
      </c>
      <c r="C5" s="108" t="n"/>
      <c r="D5" s="163" t="inlineStr">
        <is>
          <t>Régimen general y cámaras de comercio (Sistema)</t>
        </is>
      </c>
      <c r="E5" s="164" t="n">
        <v>4929017</v>
      </c>
      <c r="F5" s="165" t="inlineStr">
        <is>
          <t>9.4 / 9.5.9 · 168, 171</t>
        </is>
      </c>
    </row>
    <row r="6" ht="30" customHeight="1">
      <c r="A6" s="117" t="inlineStr">
        <is>
          <t>¿Sujeta a vigilancia o control de la Supersociedades (arts. 84 y 85 Ley 222 de 1995)?</t>
        </is>
      </c>
      <c r="B6" s="162" t="inlineStr">
        <is>
          <t>Sí</t>
        </is>
      </c>
      <c r="C6" s="108" t="n"/>
      <c r="D6" s="163" t="inlineStr">
        <is>
          <t>Sectores 9.5.1 a 9.5.6 (Sistema)</t>
        </is>
      </c>
      <c r="E6" s="164" t="n">
        <v>3696762</v>
      </c>
      <c r="F6" s="165" t="inlineStr">
        <is>
          <t>9.5 · 168-169</t>
        </is>
      </c>
    </row>
    <row r="7" ht="30" customHeight="1">
      <c r="A7" s="117" t="inlineStr">
        <is>
          <t>¿Vigilada por otra entidad con régimen especial por su actividad?</t>
        </is>
      </c>
      <c r="B7" s="162" t="inlineStr">
        <is>
          <t>No</t>
        </is>
      </c>
      <c r="C7" s="108" t="n"/>
      <c r="D7" s="163" t="inlineStr">
        <is>
          <t>Activos virtuales: aportes u operaciones</t>
        </is>
      </c>
      <c r="E7" s="164" t="n">
        <v>12323</v>
      </c>
      <c r="F7" s="165" t="inlineStr">
        <is>
          <t>9.5.7 · 170</t>
        </is>
      </c>
    </row>
    <row r="8" ht="30" customHeight="1">
      <c r="A8" s="117" t="inlineStr">
        <is>
          <t>¿En liquidación, intervención judicial o con causal de disolución por negocio en marcha reconocida?</t>
        </is>
      </c>
      <c r="B8" s="162" t="inlineStr">
        <is>
          <t>No</t>
        </is>
      </c>
      <c r="C8" s="108" t="n"/>
      <c r="D8" s="163" t="inlineStr">
        <is>
          <t>RMM e ingresos para activos virtuales</t>
        </is>
      </c>
      <c r="E8" s="164" t="n">
        <v>369676</v>
      </c>
      <c r="F8" s="165" t="inlineStr">
        <is>
          <t>9.5.7 / 9.6 · 170-173</t>
        </is>
      </c>
    </row>
    <row r="9" ht="30" customHeight="1">
      <c r="A9" s="117" t="inlineStr">
        <is>
          <t>Sector según CIIU inscrito en el registro mercantil</t>
        </is>
      </c>
      <c r="B9" s="162" t="inlineStr">
        <is>
          <t>Ninguno de los sectores listados</t>
        </is>
      </c>
      <c r="C9" s="108" t="n"/>
      <c r="D9" s="163" t="inlineStr">
        <is>
          <t>RMM y activos para activos virtuales</t>
        </is>
      </c>
      <c r="E9" s="164" t="n">
        <v>616127</v>
      </c>
      <c r="F9" s="165" t="inlineStr">
        <is>
          <t>9.5.7 / 9.6 · 170-173</t>
        </is>
      </c>
    </row>
    <row r="10" ht="30" customHeight="1">
      <c r="A10" s="117" t="inlineStr">
        <is>
          <t>Código CIIU principal (informativo)</t>
        </is>
      </c>
      <c r="B10" s="162" t="n"/>
      <c r="C10" s="108" t="n"/>
      <c r="D10" s="163" t="inlineStr">
        <is>
          <t>Cámaras de comercio · RMM (piso)</t>
        </is>
      </c>
      <c r="E10" s="164" t="n">
        <v>1109029</v>
      </c>
      <c r="F10" s="165" t="inlineStr">
        <is>
          <t>9.6.6 · 172</t>
        </is>
      </c>
    </row>
    <row r="11" ht="30" customHeight="1">
      <c r="A11" s="117" t="inlineStr">
        <is>
          <t>Valor de UNA UVB en pesos (fijado por el Ministerio de Hacienda para el año de corte)</t>
        </is>
      </c>
      <c r="B11" s="166" t="n"/>
      <c r="C11" s="167" t="inlineStr">
        <is>
          <t>≈ 12.000 pesos; no es el valor de los ingresos</t>
        </is>
      </c>
      <c r="D11" s="108" t="n"/>
      <c r="E11" s="108" t="n"/>
      <c r="F11" s="108" t="n"/>
    </row>
    <row r="12" ht="30" customHeight="1">
      <c r="A12" s="117" t="inlineStr">
        <is>
          <t>Ingresos totales a 31-dic del año anterior, en pesos (cámaras: ingresos por actividades ordinarias)</t>
        </is>
      </c>
      <c r="B12" s="166" t="n"/>
      <c r="C12" s="108" t="n"/>
      <c r="D12" s="108" t="n"/>
      <c r="E12" s="108" t="n"/>
      <c r="F12" s="108" t="n"/>
    </row>
    <row r="13" ht="30" customHeight="1">
      <c r="A13" s="117" t="inlineStr">
        <is>
          <t>Activos totales a 31-dic del año anterior, en pesos</t>
        </is>
      </c>
      <c r="B13" s="166" t="n"/>
      <c r="C13" s="108" t="n"/>
      <c r="D13" s="160" t="inlineStr">
        <is>
          <t>SECTORES</t>
        </is>
      </c>
      <c r="E13" s="161" t="inlineStr">
        <is>
          <t>Sistema (9.5)</t>
        </is>
      </c>
      <c r="F13" s="161" t="inlineStr">
        <is>
          <t>RMM (9.6)</t>
        </is>
      </c>
    </row>
    <row r="14" ht="20" customHeight="1">
      <c r="A14" s="117" t="inlineStr">
        <is>
          <t>Aportes recibidos en activos virtuales a 31-dic, en pesos</t>
        </is>
      </c>
      <c r="B14" s="166" t="n">
        <v>0</v>
      </c>
      <c r="C14" s="108" t="n"/>
      <c r="D14" s="163" t="inlineStr">
        <is>
          <t>Ninguno de los sectores listados</t>
        </is>
      </c>
      <c r="E14" s="168" t="inlineStr">
        <is>
          <t>No</t>
        </is>
      </c>
      <c r="F14" s="168" t="inlineStr">
        <is>
          <t>No</t>
        </is>
      </c>
    </row>
    <row r="15" ht="20" customHeight="1">
      <c r="A15" s="117" t="inlineStr">
        <is>
          <t>Operaciones con activos virtuales por cuenta de terceros a 31-dic, en pesos</t>
        </is>
      </c>
      <c r="B15" s="166" t="n">
        <v>0</v>
      </c>
      <c r="C15" s="108" t="n"/>
      <c r="D15" s="163" t="inlineStr">
        <is>
          <t>Agentes inmobiliarios (6810, 6820)</t>
        </is>
      </c>
      <c r="E15" s="169" t="inlineStr">
        <is>
          <t>Sí</t>
        </is>
      </c>
      <c r="F15" s="169" t="inlineStr">
        <is>
          <t>Sí</t>
        </is>
      </c>
    </row>
    <row r="16" ht="26" customHeight="1">
      <c r="A16" s="108" t="n"/>
      <c r="B16" s="108" t="n"/>
      <c r="C16" s="108" t="n"/>
      <c r="D16" s="163" t="inlineStr">
        <is>
          <t>Metales y piedras preciosas (4662, 3211, 2421, 0722)</t>
        </is>
      </c>
      <c r="E16" s="169" t="inlineStr">
        <is>
          <t>Sí</t>
        </is>
      </c>
      <c r="F16" s="169" t="inlineStr">
        <is>
          <t>Sí</t>
        </is>
      </c>
    </row>
    <row r="17" ht="22" customHeight="1">
      <c r="A17" s="114" t="inlineStr">
        <is>
          <t>2 · CONVERSIÓN A UVB</t>
        </is>
      </c>
      <c r="B17" s="115" t="n"/>
      <c r="C17" s="108" t="n"/>
      <c r="D17" s="163" t="inlineStr">
        <is>
          <t>Servicios jurídicos (6910)</t>
        </is>
      </c>
      <c r="E17" s="169" t="inlineStr">
        <is>
          <t>Sí</t>
        </is>
      </c>
      <c r="F17" s="169" t="inlineStr">
        <is>
          <t>Sí</t>
        </is>
      </c>
    </row>
    <row r="18" ht="20" customHeight="1">
      <c r="A18" s="117" t="inlineStr">
        <is>
          <t>Ingresos en UVB</t>
        </is>
      </c>
      <c r="B18" s="170">
        <f>IF($B$11&gt;0,B12/$B$11,0)</f>
        <v/>
      </c>
      <c r="C18" s="108" t="n"/>
      <c r="D18" s="163" t="inlineStr">
        <is>
          <t>Servicios contables (6920)</t>
        </is>
      </c>
      <c r="E18" s="169" t="inlineStr">
        <is>
          <t>Sí</t>
        </is>
      </c>
      <c r="F18" s="169" t="inlineStr">
        <is>
          <t>Sí</t>
        </is>
      </c>
    </row>
    <row r="19" ht="26" customHeight="1">
      <c r="A19" s="117" t="inlineStr">
        <is>
          <t>Activos en UVB</t>
        </is>
      </c>
      <c r="B19" s="170">
        <f>IF($B$11&gt;0,B13/$B$11,0)</f>
        <v/>
      </c>
      <c r="C19" s="108" t="n"/>
      <c r="D19" s="163" t="inlineStr">
        <is>
          <t>Construcción de edificios y obras civiles (4111, 4112, 4210, 4220, 4290)</t>
        </is>
      </c>
      <c r="E19" s="169" t="inlineStr">
        <is>
          <t>Sí</t>
        </is>
      </c>
      <c r="F19" s="169" t="inlineStr">
        <is>
          <t>Sí</t>
        </is>
      </c>
    </row>
    <row r="20" ht="20" customHeight="1">
      <c r="A20" s="117" t="inlineStr">
        <is>
          <t>Aportes en activos virtuales en UVB</t>
        </is>
      </c>
      <c r="B20" s="170">
        <f>IF($B$11&gt;0,B14/$B$11,0)</f>
        <v/>
      </c>
      <c r="C20" s="108" t="n"/>
      <c r="D20" s="163" t="inlineStr">
        <is>
          <t>Comercio de vehículos (4511, 4512, 4541)</t>
        </is>
      </c>
      <c r="E20" s="169" t="inlineStr">
        <is>
          <t>Sí</t>
        </is>
      </c>
      <c r="F20" s="169" t="inlineStr">
        <is>
          <t>Sí</t>
        </is>
      </c>
    </row>
    <row r="21" ht="20" customHeight="1">
      <c r="A21" s="117" t="inlineStr">
        <is>
          <t>Operaciones con activos virtuales en UVB</t>
        </is>
      </c>
      <c r="B21" s="170">
        <f>IF($B$11&gt;0,B15/$B$11,0)</f>
        <v/>
      </c>
      <c r="C21" s="108" t="n"/>
      <c r="D21" s="163" t="inlineStr">
        <is>
          <t>Farmacéutico (2011, 2100, 3250, 4645)</t>
        </is>
      </c>
      <c r="E21" s="168" t="inlineStr">
        <is>
          <t>No</t>
        </is>
      </c>
      <c r="F21" s="169" t="inlineStr">
        <is>
          <t>Sí</t>
        </is>
      </c>
    </row>
    <row r="22" ht="20" customHeight="1">
      <c r="A22" s="108" t="n"/>
      <c r="B22" s="108" t="n"/>
      <c r="C22" s="108" t="n"/>
      <c r="D22" s="163" t="inlineStr">
        <is>
          <t>Manufacturero (códigos del num. 9.6.9)</t>
        </is>
      </c>
      <c r="E22" s="168" t="inlineStr">
        <is>
          <t>No</t>
        </is>
      </c>
      <c r="F22" s="169" t="inlineStr">
        <is>
          <t>Sí</t>
        </is>
      </c>
    </row>
    <row r="23" ht="22" customHeight="1">
      <c r="A23" s="114" t="inlineStr">
        <is>
          <t>3 · PRUEBAS POR NUMERAL</t>
        </is>
      </c>
      <c r="B23" s="115" t="n"/>
      <c r="C23" s="108" t="n"/>
      <c r="D23" s="163" t="inlineStr">
        <is>
          <t>Minero-energético (B05, B07, 4662)</t>
        </is>
      </c>
      <c r="E23" s="168" t="inlineStr">
        <is>
          <t>No</t>
        </is>
      </c>
      <c r="F23" s="169" t="inlineStr">
        <is>
          <t>Sí</t>
        </is>
      </c>
    </row>
    <row r="24" ht="20" customHeight="1">
      <c r="A24" s="163" t="inlineStr">
        <is>
          <t>9.4 Régimen general: ingresos o activos ≥ 4.929.017 UVB</t>
        </is>
      </c>
      <c r="B24" s="171">
        <f>AND(B5="Sociedad, empresa unipersonal o sucursal",B6="Sí",B7="No",OR(B18&gt;=$E$5,B19&gt;=$E$5))</f>
        <v/>
      </c>
      <c r="C24" s="108" t="n"/>
      <c r="D24" s="163" t="inlineStr">
        <is>
          <t>Régimen especial: SAPAC, libranza, multinivel, fondo ganadero o factoring</t>
        </is>
      </c>
      <c r="E24" s="169" t="inlineStr">
        <is>
          <t>Sí</t>
        </is>
      </c>
      <c r="F24" s="168" t="inlineStr">
        <is>
          <t>No</t>
        </is>
      </c>
    </row>
    <row r="25" ht="20" customHeight="1">
      <c r="A25" s="163" t="inlineStr">
        <is>
          <t>9.5.1–9.5.6 Sector obligado: ingresos o activos ≥ 3.696.762 UVB</t>
        </is>
      </c>
      <c r="B25" s="171">
        <f>AND(B5="Sociedad, empresa unipersonal o sucursal",B6="Sí",B7="No",INDEX($E$14:$E$24,MATCH(B9,$D$14:$D$24,0))="Sí",B9&lt;&gt;"Régimen especial: SAPAC, libranza, multinivel, fondo ganadero o factoring",OR(B18&gt;=$E$6,B19&gt;=$E$6))</f>
        <v/>
      </c>
      <c r="C25" s="108" t="n"/>
      <c r="D25" s="108" t="n"/>
      <c r="E25" s="108" t="n"/>
      <c r="F25" s="108" t="n"/>
    </row>
    <row r="26" ht="20" customHeight="1">
      <c r="A26" s="163" t="inlineStr">
        <is>
          <t>9.5.7 Activos virtuales</t>
        </is>
      </c>
      <c r="B26" s="171">
        <f>AND(B5="Sociedad, empresa unipersonal o sucursal",B7="No",OR(B20&gt;=$E$7,AND(B21&gt;=$E$7,OR(B18&gt;=$E$8,B19&gt;=$E$9))))</f>
        <v/>
      </c>
      <c r="C26" s="108" t="n"/>
      <c r="D26" s="172" t="inlineStr">
        <is>
          <t>Los sectores del 9.5 exigen además estar sujetos a vigilancia o control de la Supersociedades; los del 9.6 no. El código 4662 figura en metales y en minero-energético.</t>
        </is>
      </c>
      <c r="E26" s="108" t="n"/>
      <c r="F26" s="108" t="n"/>
    </row>
    <row r="27" ht="20" customHeight="1">
      <c r="A27" s="163" t="inlineStr">
        <is>
          <t>9.5.8 Sectores de supervisión o régimen especial</t>
        </is>
      </c>
      <c r="B27" s="171">
        <f>AND(B5="Sociedad, empresa unipersonal o sucursal",B9="Régimen especial: SAPAC, libranza, multinivel, fondo ganadero o factoring")</f>
        <v/>
      </c>
      <c r="C27" s="108" t="n"/>
      <c r="D27" s="108" t="n"/>
      <c r="E27" s="108" t="n"/>
      <c r="F27" s="108" t="n"/>
    </row>
    <row r="28" ht="20" customHeight="1">
      <c r="A28" s="163" t="inlineStr">
        <is>
          <t>9.5.9 Confecámaras / cámaras con ingresos ordinarios ≥ 4.929.017 UVB</t>
        </is>
      </c>
      <c r="B28" s="171">
        <f>OR(B5="Confecámaras",AND(B5="Cámara de comercio",B18&gt;=$E$5))</f>
        <v/>
      </c>
      <c r="C28" s="108" t="n"/>
      <c r="D28" s="108" t="n"/>
      <c r="E28" s="108" t="n"/>
      <c r="F28" s="108" t="n"/>
    </row>
    <row r="29" ht="20" customHeight="1">
      <c r="A29" s="163" t="inlineStr">
        <is>
          <t>9.6 RMM por sector: ingresos ≥ 369.676 o activos ≥ 616.127 UVB</t>
        </is>
      </c>
      <c r="B29" s="171">
        <f>AND(B5="Sociedad, empresa unipersonal o sucursal",B7="No",INDEX($F$14:$F$24,MATCH(B9,$D$14:$D$24,0))="Sí",OR(B18&gt;=$E$8,B19&gt;=$E$9))</f>
        <v/>
      </c>
      <c r="C29" s="108" t="n"/>
      <c r="D29" s="108" t="n"/>
      <c r="E29" s="108" t="n"/>
      <c r="F29" s="108" t="n"/>
    </row>
    <row r="30" ht="20" customHeight="1">
      <c r="A30" s="163" t="inlineStr">
        <is>
          <t>9.6.6 Cámaras de comercio · RMM</t>
        </is>
      </c>
      <c r="B30" s="171">
        <f>AND(B5="Cámara de comercio",B18&gt;=$E$10,B18&lt;$E$5)</f>
        <v/>
      </c>
      <c r="C30" s="108" t="n"/>
      <c r="D30" s="108" t="n"/>
      <c r="E30" s="108" t="n"/>
      <c r="F30" s="108" t="n"/>
    </row>
    <row r="31">
      <c r="A31" s="108" t="n"/>
      <c r="B31" s="108" t="n"/>
      <c r="C31" s="108" t="n"/>
      <c r="D31" s="108" t="n"/>
      <c r="E31" s="108" t="n"/>
      <c r="F31" s="108" t="n"/>
    </row>
    <row r="32" ht="48" customHeight="1">
      <c r="A32" s="173" t="inlineStr">
        <is>
          <t>RESULTADO</t>
        </is>
      </c>
      <c r="B32" s="174">
        <f>IF(B8="Sí","No obligado: sociedad en liquidación, intervención o sin negocio en marcha (num. 9.23–9.24)",IF(AND(B5="Sociedad, empresa unipersonal o sucursal",B7="Sí"),"No le aplica el Capítulo IX: vigilada por otra entidad con régimen especial",IF(AND(OR(B11="",B11&lt;=0),B5&lt;&gt;"Confecámaras",B9&lt;&gt;"Régimen especial: SAPAC, libranza, multinivel, fondo ganadero o factoring"),"Ingrese el valor de la UVB para calcular",IF(OR(B24,B25,B26,B27,B28),"Sistema de Autocontrol y Gestión LA/FT/FP y C/ST (num. 9.4–9.5)",IF(OR(B29,B30),"Régimen de Medidas Mínimas (RMM) (num. 9.6)","No obligado: se recomienda adopción voluntaria (num. 9.26.3)")))))</f>
        <v/>
      </c>
      <c r="C32" s="108" t="n"/>
      <c r="D32" s="108" t="n"/>
      <c r="E32" s="108" t="n"/>
      <c r="F32" s="108" t="n"/>
    </row>
    <row r="33">
      <c r="A33" s="108" t="n"/>
      <c r="B33" s="175">
        <f>IF(B26,"Por operar con activos virtuales debe aplicar Debida Diligencia Intensificada (num. 9.5.7).","")</f>
        <v/>
      </c>
      <c r="C33" s="108" t="n"/>
      <c r="D33" s="108" t="n"/>
      <c r="E33" s="108" t="n"/>
      <c r="F33" s="108" t="n"/>
    </row>
    <row r="34">
      <c r="A34" s="108" t="n"/>
      <c r="B34" s="108" t="n"/>
      <c r="C34" s="108" t="n"/>
      <c r="D34" s="108" t="n"/>
      <c r="E34" s="108" t="n"/>
      <c r="F34" s="108" t="n"/>
    </row>
    <row r="35" ht="30" customHeight="1">
      <c r="A35" s="176" t="inlineStr">
        <is>
          <t>Si deja de cumplir los umbrales al 31 de diciembre, sigue obligado 2 años más (Sistema) o 1 año más (RMM) (num. 9.30). Los nuevos obligados implementan a más tardar el 31 de mayo del año siguiente (num. 9.28).</t>
        </is>
      </c>
      <c r="B35" s="108" t="n"/>
      <c r="C35" s="108" t="n"/>
      <c r="D35" s="108" t="n"/>
      <c r="E35" s="108" t="n"/>
      <c r="F35" s="108" t="n"/>
    </row>
    <row r="36">
      <c r="A36" s="108" t="n"/>
      <c r="B36" s="108" t="n"/>
      <c r="C36" s="108" t="n"/>
      <c r="D36" s="108" t="n"/>
      <c r="E36" s="108" t="n"/>
      <c r="F36" s="108" t="n"/>
    </row>
  </sheetData>
  <mergeCells count="3">
    <mergeCell ref="D26:F28"/>
    <mergeCell ref="A3:F3"/>
    <mergeCell ref="A35:B36"/>
  </mergeCells>
  <conditionalFormatting sqref="B24">
    <cfRule type="expression" priority="1" dxfId="0">
      <formula>B24=TRUE</formula>
    </cfRule>
  </conditionalFormatting>
  <conditionalFormatting sqref="B25">
    <cfRule type="expression" priority="2" dxfId="0">
      <formula>B25=TRUE</formula>
    </cfRule>
  </conditionalFormatting>
  <conditionalFormatting sqref="B26">
    <cfRule type="expression" priority="3" dxfId="0">
      <formula>B26=TRUE</formula>
    </cfRule>
  </conditionalFormatting>
  <conditionalFormatting sqref="B27">
    <cfRule type="expression" priority="4" dxfId="0">
      <formula>B27=TRUE</formula>
    </cfRule>
  </conditionalFormatting>
  <conditionalFormatting sqref="B28">
    <cfRule type="expression" priority="5" dxfId="0">
      <formula>B28=TRUE</formula>
    </cfRule>
  </conditionalFormatting>
  <conditionalFormatting sqref="B29">
    <cfRule type="expression" priority="6" dxfId="0">
      <formula>B29=TRUE</formula>
    </cfRule>
  </conditionalFormatting>
  <conditionalFormatting sqref="B30">
    <cfRule type="expression" priority="7" dxfId="0">
      <formula>B30=TRUE</formula>
    </cfRule>
  </conditionalFormatting>
  <dataValidations count="4">
    <dataValidation sqref="B11" showDropDown="0" showInputMessage="1" showErrorMessage="1" allowBlank="0" errorTitle="Revise el valor de la UVB" error="Una UVB vale alrededor de 12.000 pesos. No escriba aquí los ingresos ni los activos. ¿Desea mantener el valor?" promptTitle="Valor de una UVB" prompt="Escriba el valor de UNA unidad (aprox. 12.000 pesos), no los ingresos." type="decimal" errorStyle="warning" operator="between">
      <formula1>1000</formula1>
      <formula2>100000</formula2>
    </dataValidation>
    <dataValidation sqref="B5" showDropDown="0" showInputMessage="0" showErrorMessage="0" allowBlank="0" type="list">
      <formula1>=Escala!$H$5:$H$7</formula1>
    </dataValidation>
    <dataValidation sqref="B6:B8" showDropDown="0" showInputMessage="0" showErrorMessage="0" allowBlank="0" type="list">
      <formula1>=Escala!$G$5:$G$6</formula1>
    </dataValidation>
    <dataValidation sqref="B9" showDropDown="0" showInputMessage="0" showErrorMessage="0" allowBlank="0" type="list">
      <formula1>=$D$14:$D$24</formula1>
    </dataValidation>
  </dataValidations>
  <pageMargins left="0.75" right="0.75" top="1" bottom="1" header="0.5" footer="0.5"/>
  <pageSetup fitToHeight="0" fitToWidth="1"/>
  <headerFooter>
    <oddHeader>&amp;L&amp;"Georgia,Bold"&amp;KA12B22Criterio Compliance&amp;R&amp;K57534A&amp;A</oddHeader>
    <oddFooter>&amp;L&amp;8 &amp;K57534Acriteriocompliance.com · Herramienta orientativa: no reemplaza la asesoría profesional&amp;R&amp;8 Pág. &amp;P de &amp;N</oddFooter>
    <evenHeader/>
    <evenFooter/>
    <firstHeader/>
    <firstFooter/>
  </headerFooter>
</worksheet>
</file>

<file path=xl/worksheets/sheet4.xml><?xml version="1.0" encoding="utf-8"?>
<worksheet xmlns="http://schemas.openxmlformats.org/spreadsheetml/2006/main">
  <sheetPr>
    <tabColor rgb="00A12B22"/>
    <outlinePr summaryBelow="1" summaryRight="1"/>
    <pageSetUpPr fitToPage="1"/>
  </sheetPr>
  <dimension ref="A1:R136"/>
  <sheetViews>
    <sheetView showGridLines="0" zoomScale="90" workbookViewId="0">
      <pane xSplit="5" ySplit="6" topLeftCell="F7"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hidden="1" width="20" customWidth="1" min="2" max="2"/>
    <col width="10" customWidth="1" min="3" max="3"/>
    <col width="7" customWidth="1" min="4" max="4"/>
    <col width="56" customWidth="1" min="5" max="5"/>
    <col width="44" customWidth="1" min="6" max="6"/>
    <col width="15" customWidth="1" min="7" max="7"/>
    <col width="6" customWidth="1" min="8" max="8"/>
    <col width="23" customWidth="1" min="9" max="9"/>
    <col width="11" customWidth="1" min="10" max="10"/>
    <col width="32" customWidth="1" min="11" max="11"/>
    <col width="28" customWidth="1" min="12" max="12"/>
    <col width="32" customWidth="1" min="13" max="13"/>
    <col width="15" customWidth="1" min="14" max="14"/>
    <col width="12" customWidth="1" min="15" max="15"/>
    <col width="13" customWidth="1" min="16" max="16"/>
    <col hidden="1" width="8" customWidth="1" min="17" max="17"/>
    <col hidden="1" width="8" customWidth="1" min="18" max="18"/>
  </cols>
  <sheetData>
    <row r="1">
      <c r="A1" s="177" t="inlineStr">
        <is>
          <t>Matriz de cumplimiento · Sistema de Autocontrol y Gestión de Riesgos LA/FT/FP y C/ST</t>
        </is>
      </c>
      <c r="B1" s="108" t="n"/>
      <c r="C1" s="108" t="n"/>
      <c r="D1" s="108" t="n"/>
      <c r="E1" s="108" t="n"/>
      <c r="F1" s="108" t="n"/>
      <c r="G1" s="108" t="n"/>
      <c r="H1" s="108" t="n"/>
      <c r="I1" s="108" t="n"/>
      <c r="J1" s="108" t="n"/>
      <c r="K1" s="108" t="n"/>
      <c r="L1" s="108" t="n"/>
      <c r="M1" s="108" t="n"/>
      <c r="N1" s="108" t="n"/>
      <c r="O1" s="108" t="n"/>
      <c r="P1" s="108" t="n"/>
      <c r="Q1" s="108" t="n"/>
      <c r="R1" s="108" t="n"/>
    </row>
    <row r="2">
      <c r="A2" s="112" t="inlineStr">
        <is>
          <t>Fuente: Circular Externa 100-000020 del 2 de julio de 2026 (Supersociedades), Capítulo IX de la Circular Básica Jurídica · 'Pág.' = página de la Circular · diligencie solo las celdas amarillas.</t>
        </is>
      </c>
      <c r="B2" s="108" t="n"/>
      <c r="C2" s="108" t="n"/>
      <c r="D2" s="108" t="n"/>
      <c r="E2" s="108" t="n"/>
      <c r="F2" s="108" t="n"/>
      <c r="G2" s="108" t="n"/>
      <c r="H2" s="108" t="n"/>
      <c r="I2" s="108" t="n"/>
      <c r="J2" s="108" t="n"/>
      <c r="K2" s="108" t="n"/>
      <c r="L2" s="108" t="n"/>
      <c r="M2" s="108" t="n"/>
      <c r="N2" s="108" t="n"/>
      <c r="O2" s="108" t="n"/>
      <c r="P2" s="108" t="n"/>
      <c r="Q2" s="108" t="n"/>
      <c r="R2" s="108" t="n"/>
    </row>
    <row r="3" ht="26" customHeight="1">
      <c r="A3" s="178">
        <f>"Cumplimiento global: "&amp;IFERROR(TEXT(SUM($R$7:$R$400)/SUM($Q$7:$Q$400),"0%"),"N/A")&amp;"     ·     Requisitos calificados: "&amp;(COUNTIFS($B$7:$B$400,"?*",$I$7:$I$400,"?*")-COUNTIF($I$7:$I$400,"No aplica"))&amp;" de "&amp;(COUNTIF($B$7:$B$400,"?*")-COUNTIF($I$7:$I$400,"No aplica"))&amp;"     ·     Críticos (peso 3) por debajo de 50%: "&amp;COUNTIFS($H$7:$H$400,3,$J$7:$J$400,"&lt;"&amp;0.5)&amp;"     ·     Acciones vencidas sin cerrar: "&amp;COUNTIFS($O$7:$O$400,"&lt;"&amp;TODAY(),$P$7:$P$400,"&lt;&gt;Cerrada")&amp;"     ·     Fechas después del 31/05/2027: "&amp;COUNTIF($O$7:$O$400,"&gt;"&amp;DATE(2027,5,31))</f>
        <v/>
      </c>
      <c r="B3" s="108" t="n"/>
      <c r="C3" s="108" t="n"/>
      <c r="D3" s="108" t="n"/>
      <c r="E3" s="108" t="n"/>
      <c r="F3" s="108" t="n"/>
      <c r="G3" s="108" t="n"/>
      <c r="H3" s="108" t="n"/>
      <c r="I3" s="108" t="n"/>
      <c r="J3" s="108" t="n"/>
      <c r="K3" s="108" t="n"/>
      <c r="L3" s="108" t="n"/>
      <c r="M3" s="108" t="n"/>
      <c r="N3" s="108" t="n"/>
      <c r="O3" s="108" t="n"/>
      <c r="P3" s="108" t="n"/>
      <c r="Q3" s="108" t="n"/>
      <c r="R3" s="108" t="n"/>
    </row>
    <row r="4">
      <c r="A4" s="129" t="inlineStr">
        <is>
          <t>Criterio Compliance · criteriocompliance.com   ·   Herramienta orientativa de autodiagnóstico. No reemplaza la asesoría de un profesional ni constituye una certificación de cumplimiento.</t>
        </is>
      </c>
      <c r="Q4" s="108" t="n"/>
      <c r="R4" s="108" t="n"/>
    </row>
    <row r="5" ht="18" customHeight="1">
      <c r="A5" s="148" t="inlineStr">
        <is>
          <t>REQUISITO DE LA CIRCULAR</t>
        </is>
      </c>
      <c r="B5" s="108" t="n"/>
      <c r="C5" s="108" t="n"/>
      <c r="D5" s="108" t="n"/>
      <c r="E5" s="108" t="n"/>
      <c r="F5" s="108" t="n"/>
      <c r="G5" s="108" t="n"/>
      <c r="H5" s="108" t="n"/>
      <c r="I5" s="179" t="inlineStr">
        <is>
          <t>EVALUACIÓN</t>
        </is>
      </c>
      <c r="J5" s="108" t="n"/>
      <c r="K5" s="161" t="inlineStr">
        <is>
          <t>PLAN DE ACCIÓN</t>
        </is>
      </c>
      <c r="L5" s="108" t="n"/>
      <c r="M5" s="108" t="n"/>
      <c r="N5" s="108" t="n"/>
      <c r="O5" s="108" t="n"/>
      <c r="P5" s="108" t="n"/>
      <c r="Q5" s="108" t="n"/>
      <c r="R5" s="108" t="n"/>
    </row>
    <row r="6" ht="30" customHeight="1">
      <c r="A6" s="180" t="inlineStr">
        <is>
          <t>ID</t>
        </is>
      </c>
      <c r="B6" s="180" t="inlineStr">
        <is>
          <t>Componente</t>
        </is>
      </c>
      <c r="C6" s="180" t="inlineStr">
        <is>
          <t>Numeral</t>
        </is>
      </c>
      <c r="D6" s="180" t="inlineStr">
        <is>
          <t>Pág.</t>
        </is>
      </c>
      <c r="E6" s="180" t="inlineStr">
        <is>
          <t>Requisito</t>
        </is>
      </c>
      <c r="F6" s="180" t="inlineStr">
        <is>
          <t>Cómo se cumple / evidencia esperada</t>
        </is>
      </c>
      <c r="G6" s="180" t="inlineStr">
        <is>
          <t>Responsable</t>
        </is>
      </c>
      <c r="H6" s="180" t="inlineStr">
        <is>
          <t>Peso</t>
        </is>
      </c>
      <c r="I6" s="181" t="inlineStr">
        <is>
          <t>Estado de cumplimiento</t>
        </is>
      </c>
      <c r="J6" s="181" t="inlineStr">
        <is>
          <t>% cumpl.</t>
        </is>
      </c>
      <c r="K6" s="182" t="inlineStr">
        <is>
          <t>Evidencia revisada / justificación</t>
        </is>
      </c>
      <c r="L6" s="182" t="inlineStr">
        <is>
          <t>Brecha identificada</t>
        </is>
      </c>
      <c r="M6" s="182" t="inlineStr">
        <is>
          <t>Acción de mejora</t>
        </is>
      </c>
      <c r="N6" s="182" t="inlineStr">
        <is>
          <t>Responsable</t>
        </is>
      </c>
      <c r="O6" s="182" t="inlineStr">
        <is>
          <t>Fecha compromiso</t>
        </is>
      </c>
      <c r="P6" s="182" t="inlineStr">
        <is>
          <t>Estado de la acción</t>
        </is>
      </c>
      <c r="Q6" s="183" t="inlineStr">
        <is>
          <t>Peso aplicable</t>
        </is>
      </c>
      <c r="R6" s="183" t="inlineStr">
        <is>
          <t>Puntaje</t>
        </is>
      </c>
    </row>
    <row r="7" ht="24" customHeight="1">
      <c r="A7" s="184" t="inlineStr">
        <is>
          <t>01  ·  Diseño y aprobación del Sistema     (6 requisitos)</t>
        </is>
      </c>
      <c r="B7" s="185" t="n"/>
      <c r="C7" s="185" t="n"/>
      <c r="D7" s="185" t="n"/>
      <c r="E7" s="185" t="n"/>
      <c r="F7" s="185" t="n"/>
      <c r="G7" s="185" t="n"/>
      <c r="H7" s="185" t="n"/>
      <c r="I7" s="186" t="n"/>
      <c r="J7" s="187">
        <f>IFERROR(SUMIFS($R$7:$R$400,$B$7:$B$400,"01. Diseño y aprobación del Sistema")/SUMIFS($Q$7:$Q$400,$B$7:$B$400,"01. Diseño y aprobación del Sistema"),"N/A")</f>
        <v/>
      </c>
      <c r="K7" s="186" t="n"/>
      <c r="L7" s="186" t="n"/>
      <c r="M7" s="186" t="n"/>
      <c r="N7" s="186" t="n"/>
      <c r="O7" s="186" t="n"/>
      <c r="P7" s="186" t="n"/>
      <c r="Q7" s="108" t="n"/>
      <c r="R7" s="108" t="n"/>
    </row>
    <row r="8" ht="62" customHeight="1">
      <c r="A8" s="188" t="inlineStr">
        <is>
          <t>S-01</t>
        </is>
      </c>
      <c r="B8" s="189" t="inlineStr">
        <is>
          <t>01. Diseño y aprobación del Sistema</t>
        </is>
      </c>
      <c r="C8" s="190" t="inlineStr">
        <is>
          <t>9.7</t>
        </is>
      </c>
      <c r="D8" s="191" t="inlineStr">
        <is>
          <t>173</t>
        </is>
      </c>
      <c r="E8" s="192" t="inlineStr">
        <is>
          <t>Contar con un único Sistema de Autocontrol y Gestión de Riesgos LA/FT/FP y C/ST que comprenda una política y un manual de procedimientos.</t>
        </is>
      </c>
      <c r="F8" s="193" t="inlineStr">
        <is>
          <t>Política y manual únicos que integren LA, FT, FPADM, corrupción local y soborno transnacional (ya no SAGRILAFT y PTEE por separado). Revisar versión vigente y control de cambios.</t>
        </is>
      </c>
      <c r="G8" s="194" t="inlineStr">
        <is>
          <t>Sujeto obligado / OC</t>
        </is>
      </c>
      <c r="H8" s="195" t="n">
        <v>3</v>
      </c>
      <c r="I8" s="196" t="n"/>
      <c r="J8" s="197">
        <f>IF(I8="","",IF(I8="No aplica","N/A",INDEX(Escala!$C$5:$C$9,MATCH(I8,Escala!$B$5:$B$9,0))))</f>
        <v/>
      </c>
      <c r="K8" s="124" t="n"/>
      <c r="L8" s="124" t="n"/>
      <c r="M8" s="124" t="n"/>
      <c r="N8" s="124" t="n"/>
      <c r="O8" s="198" t="n"/>
      <c r="P8" s="196" t="n"/>
      <c r="Q8" s="199">
        <f>IF(I8="No aplica",0,H8)</f>
        <v/>
      </c>
      <c r="R8" s="199">
        <f>IF(ISNUMBER(J8),J8*H8,0)</f>
        <v/>
      </c>
    </row>
    <row r="9" ht="36" customHeight="1">
      <c r="A9" s="188" t="inlineStr">
        <is>
          <t>S-02</t>
        </is>
      </c>
      <c r="B9" s="189" t="inlineStr">
        <is>
          <t>01. Diseño y aprobación del Sistema</t>
        </is>
      </c>
      <c r="C9" s="190" t="inlineStr">
        <is>
          <t>9.7</t>
        </is>
      </c>
      <c r="D9" s="191" t="inlineStr">
        <is>
          <t>173</t>
        </is>
      </c>
      <c r="E9" s="192" t="inlineStr">
        <is>
          <t>El compromiso de los altos directivos debe constar en la política del Sistema.</t>
        </is>
      </c>
      <c r="F9" s="193" t="inlineStr">
        <is>
          <t>Declaración de compromiso de la alta dirección incluida en el texto de la política aprobada.</t>
        </is>
      </c>
      <c r="G9" s="194" t="inlineStr">
        <is>
          <t>Junta Directiva / RL</t>
        </is>
      </c>
      <c r="H9" s="195" t="n">
        <v>2</v>
      </c>
      <c r="I9" s="196" t="n"/>
      <c r="J9" s="197">
        <f>IF(I9="","",IF(I9="No aplica","N/A",INDEX(Escala!$C$5:$C$9,MATCH(I9,Escala!$B$5:$B$9,0))))</f>
        <v/>
      </c>
      <c r="K9" s="124" t="n"/>
      <c r="L9" s="124" t="n"/>
      <c r="M9" s="124" t="n"/>
      <c r="N9" s="124" t="n"/>
      <c r="O9" s="198" t="n"/>
      <c r="P9" s="196" t="n"/>
      <c r="Q9" s="199">
        <f>IF(I9="No aplica",0,H9)</f>
        <v/>
      </c>
      <c r="R9" s="199">
        <f>IF(ISNUMBER(J9),J9*H9,0)</f>
        <v/>
      </c>
    </row>
    <row r="10" ht="62" customHeight="1">
      <c r="A10" s="188" t="inlineStr">
        <is>
          <t>S-03</t>
        </is>
      </c>
      <c r="B10" s="189" t="inlineStr">
        <is>
          <t>01. Diseño y aprobación del Sistema</t>
        </is>
      </c>
      <c r="C10" s="190" t="inlineStr">
        <is>
          <t>9.7.1</t>
        </is>
      </c>
      <c r="D10" s="191" t="inlineStr">
        <is>
          <t>173-174</t>
        </is>
      </c>
      <c r="E10" s="192" t="inlineStr">
        <is>
          <t>Diseñar el Sistema según los riesgos propios y su materialidad: sector, actividad, jurisdicción, zonas geográficas, terceros, contratistas, intermediarios, canales, asesores, consultores y contratos estatales nacionales y extranjeros.</t>
        </is>
      </c>
      <c r="F10" s="193" t="inlineStr">
        <is>
          <t>Diagnóstico de contexto que analice cada aspecto listado y sirva de insumo a la matriz de riesgos.</t>
        </is>
      </c>
      <c r="G10" s="194" t="inlineStr">
        <is>
          <t>Oficial de Cumplimiento</t>
        </is>
      </c>
      <c r="H10" s="195" t="n">
        <v>3</v>
      </c>
      <c r="I10" s="196" t="n"/>
      <c r="J10" s="197">
        <f>IF(I10="","",IF(I10="No aplica","N/A",INDEX(Escala!$C$5:$C$9,MATCH(I10,Escala!$B$5:$B$9,0))))</f>
        <v/>
      </c>
      <c r="K10" s="124" t="n"/>
      <c r="L10" s="124" t="n"/>
      <c r="M10" s="124" t="n"/>
      <c r="N10" s="124" t="n"/>
      <c r="O10" s="198" t="n"/>
      <c r="P10" s="196" t="n"/>
      <c r="Q10" s="199">
        <f>IF(I10="No aplica",0,H10)</f>
        <v/>
      </c>
      <c r="R10" s="199">
        <f>IF(ISNUMBER(J10),J10*H10,0)</f>
        <v/>
      </c>
    </row>
    <row r="11" ht="49" customHeight="1">
      <c r="A11" s="188" t="inlineStr">
        <is>
          <t>S-04</t>
        </is>
      </c>
      <c r="B11" s="189" t="inlineStr">
        <is>
          <t>01. Diseño y aprobación del Sistema</t>
        </is>
      </c>
      <c r="C11" s="190" t="inlineStr">
        <is>
          <t>9.7.1</t>
        </is>
      </c>
      <c r="D11" s="191" t="inlineStr">
        <is>
          <t>174</t>
        </is>
      </c>
      <c r="E11" s="192" t="inlineStr">
        <is>
          <t>Evitar el 'paper compliance': procedimientos y políticas ajustados a la realidad del Sujeto Obligado, no copias de otros sistemas.</t>
        </is>
      </c>
      <c r="F11" s="193" t="inlineStr">
        <is>
          <t>Los procedimientos citan procesos, cargos y sistemas reales de la empresa; hay registros operativos que prueban su aplicación.</t>
        </is>
      </c>
      <c r="G11" s="194" t="inlineStr">
        <is>
          <t>OC / Junta Directiva</t>
        </is>
      </c>
      <c r="H11" s="195" t="n">
        <v>3</v>
      </c>
      <c r="I11" s="196" t="n"/>
      <c r="J11" s="197">
        <f>IF(I11="","",IF(I11="No aplica","N/A",INDEX(Escala!$C$5:$C$9,MATCH(I11,Escala!$B$5:$B$9,0))))</f>
        <v/>
      </c>
      <c r="K11" s="124" t="n"/>
      <c r="L11" s="124" t="n"/>
      <c r="M11" s="124" t="n"/>
      <c r="N11" s="124" t="n"/>
      <c r="O11" s="198" t="n"/>
      <c r="P11" s="196" t="n"/>
      <c r="Q11" s="199">
        <f>IF(I11="No aplica",0,H11)</f>
        <v/>
      </c>
      <c r="R11" s="199">
        <f>IF(ISNUMBER(J11),J11*H11,0)</f>
        <v/>
      </c>
    </row>
    <row r="12" ht="49" customHeight="1">
      <c r="A12" s="188" t="inlineStr">
        <is>
          <t>S-05</t>
        </is>
      </c>
      <c r="B12" s="189" t="inlineStr">
        <is>
          <t>01. Diseño y aprobación del Sistema</t>
        </is>
      </c>
      <c r="C12" s="190" t="inlineStr">
        <is>
          <t>9.7.1</t>
        </is>
      </c>
      <c r="D12" s="191" t="inlineStr">
        <is>
          <t>174</t>
        </is>
      </c>
      <c r="E12" s="192" t="inlineStr">
        <is>
          <t>El Sistema se materializa en los procesos propios como un 'sistema vivo' para prevenir, detectar y corregir.</t>
        </is>
      </c>
      <c r="F12" s="193" t="inlineStr">
        <is>
          <t>Controles LA/FT/FP y C/ST incorporados en los procedimientos de compras, ventas, talento humano, tesorería, etc.</t>
        </is>
      </c>
      <c r="G12" s="194" t="inlineStr">
        <is>
          <t>RL / dueños de proceso</t>
        </is>
      </c>
      <c r="H12" s="195" t="n">
        <v>2</v>
      </c>
      <c r="I12" s="196" t="n"/>
      <c r="J12" s="197">
        <f>IF(I12="","",IF(I12="No aplica","N/A",INDEX(Escala!$C$5:$C$9,MATCH(I12,Escala!$B$5:$B$9,0))))</f>
        <v/>
      </c>
      <c r="K12" s="124" t="n"/>
      <c r="L12" s="124" t="n"/>
      <c r="M12" s="124" t="n"/>
      <c r="N12" s="124" t="n"/>
      <c r="O12" s="198" t="n"/>
      <c r="P12" s="196" t="n"/>
      <c r="Q12" s="199">
        <f>IF(I12="No aplica",0,H12)</f>
        <v/>
      </c>
      <c r="R12" s="199">
        <f>IF(ISNUMBER(J12),J12*H12,0)</f>
        <v/>
      </c>
    </row>
    <row r="13" ht="36" customHeight="1">
      <c r="A13" s="188" t="inlineStr">
        <is>
          <t>S-06</t>
        </is>
      </c>
      <c r="B13" s="189" t="inlineStr">
        <is>
          <t>01. Diseño y aprobación del Sistema</t>
        </is>
      </c>
      <c r="C13" s="190" t="inlineStr">
        <is>
          <t>9.7.1</t>
        </is>
      </c>
      <c r="D13" s="191" t="inlineStr">
        <is>
          <t>174</t>
        </is>
      </c>
      <c r="E13" s="192" t="inlineStr">
        <is>
          <t>Precisar por escrito las responsabilidades de administradores, Oficial de Cumplimiento y demás órganos.</t>
        </is>
      </c>
      <c r="F13" s="193" t="inlineStr">
        <is>
          <t>Capítulo de roles y responsabilidades en el manual; descripciones de cargo actualizadas.</t>
        </is>
      </c>
      <c r="G13" s="194" t="inlineStr">
        <is>
          <t>Junta Directiva / RL</t>
        </is>
      </c>
      <c r="H13" s="195" t="n">
        <v>2</v>
      </c>
      <c r="I13" s="196" t="n"/>
      <c r="J13" s="197">
        <f>IF(I13="","",IF(I13="No aplica","N/A",INDEX(Escala!$C$5:$C$9,MATCH(I13,Escala!$B$5:$B$9,0))))</f>
        <v/>
      </c>
      <c r="K13" s="124" t="n"/>
      <c r="L13" s="124" t="n"/>
      <c r="M13" s="124" t="n"/>
      <c r="N13" s="124" t="n"/>
      <c r="O13" s="198" t="n"/>
      <c r="P13" s="196" t="n"/>
      <c r="Q13" s="199">
        <f>IF(I13="No aplica",0,H13)</f>
        <v/>
      </c>
      <c r="R13" s="199">
        <f>IF(ISNUMBER(J13),J13*H13,0)</f>
        <v/>
      </c>
    </row>
    <row r="14" ht="24" customHeight="1">
      <c r="A14" s="184" t="inlineStr">
        <is>
          <t>02  ·  Políticas mínimas     (10 requisitos)</t>
        </is>
      </c>
      <c r="B14" s="185" t="n"/>
      <c r="C14" s="185" t="n"/>
      <c r="D14" s="185" t="n"/>
      <c r="E14" s="185" t="n"/>
      <c r="F14" s="185" t="n"/>
      <c r="G14" s="185" t="n"/>
      <c r="H14" s="185" t="n"/>
      <c r="I14" s="186" t="n"/>
      <c r="J14" s="187">
        <f>IFERROR(SUMIFS($R$7:$R$400,$B$7:$B$400,"02. Políticas mínimas")/SUMIFS($Q$7:$Q$400,$B$7:$B$400,"02. Políticas mínimas"),"N/A")</f>
        <v/>
      </c>
      <c r="K14" s="186" t="n"/>
      <c r="L14" s="186" t="n"/>
      <c r="M14" s="186" t="n"/>
      <c r="N14" s="186" t="n"/>
      <c r="O14" s="186" t="n"/>
      <c r="P14" s="186" t="n"/>
      <c r="Q14" s="108" t="n"/>
      <c r="R14" s="108" t="n"/>
    </row>
    <row r="15" ht="49" customHeight="1">
      <c r="A15" s="188" t="inlineStr">
        <is>
          <t>S-07</t>
        </is>
      </c>
      <c r="B15" s="189" t="inlineStr">
        <is>
          <t>02. Políticas mínimas</t>
        </is>
      </c>
      <c r="C15" s="190" t="inlineStr">
        <is>
          <t>9.7.2 a</t>
        </is>
      </c>
      <c r="D15" s="191" t="inlineStr">
        <is>
          <t>174-175</t>
        </is>
      </c>
      <c r="E15" s="192" t="inlineStr">
        <is>
          <t>Política de regalos o beneficios a terceros (obsequios, entretenimiento, objetos de valor) con montos mínimos y máximos permitidos, controles y sanciones.</t>
        </is>
      </c>
      <c r="F15" s="193" t="inlineStr">
        <is>
          <t>Política aprobada con topes definidos, registro de regalos dados/recibidos, controles y régimen sancionatorio (Ley 599/2000 y Ley 1474/2011).</t>
        </is>
      </c>
      <c r="G15" s="194" t="inlineStr">
        <is>
          <t>OC / RL</t>
        </is>
      </c>
      <c r="H15" s="195" t="n">
        <v>3</v>
      </c>
      <c r="I15" s="196" t="n"/>
      <c r="J15" s="197">
        <f>IF(I15="","",IF(I15="No aplica","N/A",INDEX(Escala!$C$5:$C$9,MATCH(I15,Escala!$B$5:$B$9,0))))</f>
        <v/>
      </c>
      <c r="K15" s="124" t="n"/>
      <c r="L15" s="124" t="n"/>
      <c r="M15" s="124" t="n"/>
      <c r="N15" s="124" t="n"/>
      <c r="O15" s="198" t="n"/>
      <c r="P15" s="196" t="n"/>
      <c r="Q15" s="199">
        <f>IF(I15="No aplica",0,H15)</f>
        <v/>
      </c>
      <c r="R15" s="199">
        <f>IF(ISNUMBER(J15),J15*H15,0)</f>
        <v/>
      </c>
    </row>
    <row r="16" ht="62" customHeight="1">
      <c r="A16" s="188" t="inlineStr">
        <is>
          <t>S-08</t>
        </is>
      </c>
      <c r="B16" s="189" t="inlineStr">
        <is>
          <t>02. Políticas mínimas</t>
        </is>
      </c>
      <c r="C16" s="190" t="inlineStr">
        <is>
          <t>9.7.2 b</t>
        </is>
      </c>
      <c r="D16" s="191" t="inlineStr">
        <is>
          <t>175</t>
        </is>
      </c>
      <c r="E16" s="192" t="inlineStr">
        <is>
          <t>Política de gastos de alimentación, hospedaje y viajes: procedimiento para recibir y otorgar, regulación de efectivo, tarjetas, bonos y transferencias, seguimiento, controles y sanciones.</t>
        </is>
      </c>
      <c r="F16" s="193" t="inlineStr">
        <is>
          <t>Procedimiento aprobado; formatos de solicitud y legalización; evidencia de controles en tesorería.</t>
        </is>
      </c>
      <c r="G16" s="194" t="inlineStr">
        <is>
          <t>OC / Área financiera</t>
        </is>
      </c>
      <c r="H16" s="195" t="n">
        <v>2</v>
      </c>
      <c r="I16" s="196" t="n"/>
      <c r="J16" s="197">
        <f>IF(I16="","",IF(I16="No aplica","N/A",INDEX(Escala!$C$5:$C$9,MATCH(I16,Escala!$B$5:$B$9,0))))</f>
        <v/>
      </c>
      <c r="K16" s="124" t="n"/>
      <c r="L16" s="124" t="n"/>
      <c r="M16" s="124" t="n"/>
      <c r="N16" s="124" t="n"/>
      <c r="O16" s="198" t="n"/>
      <c r="P16" s="196" t="n"/>
      <c r="Q16" s="199">
        <f>IF(I16="No aplica",0,H16)</f>
        <v/>
      </c>
      <c r="R16" s="199">
        <f>IF(ISNUMBER(J16),J16*H16,0)</f>
        <v/>
      </c>
    </row>
    <row r="17" ht="75" customHeight="1">
      <c r="A17" s="188" t="inlineStr">
        <is>
          <t>S-09</t>
        </is>
      </c>
      <c r="B17" s="189" t="inlineStr">
        <is>
          <t>02. Políticas mínimas</t>
        </is>
      </c>
      <c r="C17" s="190" t="inlineStr">
        <is>
          <t>9.7.2 c</t>
        </is>
      </c>
      <c r="D17" s="191" t="inlineStr">
        <is>
          <t>175</t>
        </is>
      </c>
      <c r="E17" s="192" t="inlineStr">
        <is>
          <t>Política de contribuciones políticas: prohibición o procedimiento, debida diligencia a candidatos/partidos, reporte interno de participación de directivos y colaboradores, conflictos de interés en contratación pública y formatos de solicitud y entrega.</t>
        </is>
      </c>
      <c r="F17" s="193" t="inlineStr">
        <is>
          <t>Política aprobada (o prohibición expresa); formatos de solicitud/entrega y de reporte de participación; DD si hay aportes.</t>
        </is>
      </c>
      <c r="G17" s="194" t="inlineStr">
        <is>
          <t>Junta Directiva / OC</t>
        </is>
      </c>
      <c r="H17" s="195" t="n">
        <v>3</v>
      </c>
      <c r="I17" s="196" t="n"/>
      <c r="J17" s="197">
        <f>IF(I17="","",IF(I17="No aplica","N/A",INDEX(Escala!$C$5:$C$9,MATCH(I17,Escala!$B$5:$B$9,0))))</f>
        <v/>
      </c>
      <c r="K17" s="124" t="n"/>
      <c r="L17" s="124" t="n"/>
      <c r="M17" s="124" t="n"/>
      <c r="N17" s="124" t="n"/>
      <c r="O17" s="198" t="n"/>
      <c r="P17" s="196" t="n"/>
      <c r="Q17" s="199">
        <f>IF(I17="No aplica",0,H17)</f>
        <v/>
      </c>
      <c r="R17" s="199">
        <f>IF(ISNUMBER(J17),J17*H17,0)</f>
        <v/>
      </c>
    </row>
    <row r="18" ht="62" customHeight="1">
      <c r="A18" s="188" t="inlineStr">
        <is>
          <t>S-10</t>
        </is>
      </c>
      <c r="B18" s="189" t="inlineStr">
        <is>
          <t>02. Políticas mínimas</t>
        </is>
      </c>
      <c r="C18" s="190" t="inlineStr">
        <is>
          <t>9.7.2 d</t>
        </is>
      </c>
      <c r="D18" s="191" t="inlineStr">
        <is>
          <t>175-176</t>
        </is>
      </c>
      <c r="E18" s="192" t="inlineStr">
        <is>
          <t>Política de donaciones, patrocinios o contribuciones (dinero o especie): prohibición o procedimiento, formato y trámite, área responsable de DD y aprobación, desembolso, seguimiento a la ejecución, controles y sanciones.</t>
        </is>
      </c>
      <c r="F18" s="193" t="inlineStr">
        <is>
          <t>Política aprobada; formato de solicitud; DD al beneficiario; soportes del destino de los recursos.</t>
        </is>
      </c>
      <c r="G18" s="194" t="inlineStr">
        <is>
          <t>OC / RL</t>
        </is>
      </c>
      <c r="H18" s="195" t="n">
        <v>2</v>
      </c>
      <c r="I18" s="196" t="n"/>
      <c r="J18" s="197">
        <f>IF(I18="","",IF(I18="No aplica","N/A",INDEX(Escala!$C$5:$C$9,MATCH(I18,Escala!$B$5:$B$9,0))))</f>
        <v/>
      </c>
      <c r="K18" s="124" t="n"/>
      <c r="L18" s="124" t="n"/>
      <c r="M18" s="124" t="n"/>
      <c r="N18" s="124" t="n"/>
      <c r="O18" s="198" t="n"/>
      <c r="P18" s="196" t="n"/>
      <c r="Q18" s="199">
        <f>IF(I18="No aplica",0,H18)</f>
        <v/>
      </c>
      <c r="R18" s="199">
        <f>IF(ISNUMBER(J18),J18*H18,0)</f>
        <v/>
      </c>
    </row>
    <row r="19" ht="49" customHeight="1">
      <c r="A19" s="188" t="inlineStr">
        <is>
          <t>S-11</t>
        </is>
      </c>
      <c r="B19" s="189" t="inlineStr">
        <is>
          <t>02. Políticas mínimas</t>
        </is>
      </c>
      <c r="C19" s="190" t="inlineStr">
        <is>
          <t>9.7.2 d</t>
        </is>
      </c>
      <c r="D19" s="191" t="inlineStr">
        <is>
          <t>176</t>
        </is>
      </c>
      <c r="E19" s="192" t="inlineStr">
        <is>
          <t>Si se financia mediante crowdfunding: asegurar la licitud de los recursos y su destino.</t>
        </is>
      </c>
      <c r="F19" s="193" t="inlineStr">
        <is>
          <t>Procedimiento de verificación de origen y destino de fondos captados (marcar 'No aplica' si no usa crowdfunding).</t>
        </is>
      </c>
      <c r="G19" s="194" t="inlineStr">
        <is>
          <t>Área financiera / OC</t>
        </is>
      </c>
      <c r="H19" s="195" t="n">
        <v>1</v>
      </c>
      <c r="I19" s="196" t="n"/>
      <c r="J19" s="197">
        <f>IF(I19="","",IF(I19="No aplica","N/A",INDEX(Escala!$C$5:$C$9,MATCH(I19,Escala!$B$5:$B$9,0))))</f>
        <v/>
      </c>
      <c r="K19" s="124" t="n"/>
      <c r="L19" s="124" t="n"/>
      <c r="M19" s="124" t="n"/>
      <c r="N19" s="124" t="n"/>
      <c r="O19" s="198" t="n"/>
      <c r="P19" s="196" t="n"/>
      <c r="Q19" s="199">
        <f>IF(I19="No aplica",0,H19)</f>
        <v/>
      </c>
      <c r="R19" s="199">
        <f>IF(ISNUMBER(J19),J19*H19,0)</f>
        <v/>
      </c>
    </row>
    <row r="20" ht="49" customHeight="1">
      <c r="A20" s="188" t="inlineStr">
        <is>
          <t>S-12</t>
        </is>
      </c>
      <c r="B20" s="189" t="inlineStr">
        <is>
          <t>02. Políticas mínimas</t>
        </is>
      </c>
      <c r="C20" s="190" t="inlineStr">
        <is>
          <t>9.7.2 e</t>
        </is>
      </c>
      <c r="D20" s="191" t="inlineStr">
        <is>
          <t>176</t>
        </is>
      </c>
      <c r="E20" s="192" t="inlineStr">
        <is>
          <t>Política de lobby o cabildeo que plasme la transparencia y regule su ejercicio (Guía OCDE de lobistas).</t>
        </is>
      </c>
      <c r="F20" s="193" t="inlineStr">
        <is>
          <t>Política aprobada y registro de gestiones ante autoridades públicas, o declaración expresa de que no se realiza lobby.</t>
        </is>
      </c>
      <c r="G20" s="194" t="inlineStr">
        <is>
          <t>Junta Directiva / OC</t>
        </is>
      </c>
      <c r="H20" s="195" t="n">
        <v>2</v>
      </c>
      <c r="I20" s="196" t="n"/>
      <c r="J20" s="197">
        <f>IF(I20="","",IF(I20="No aplica","N/A",INDEX(Escala!$C$5:$C$9,MATCH(I20,Escala!$B$5:$B$9,0))))</f>
        <v/>
      </c>
      <c r="K20" s="124" t="n"/>
      <c r="L20" s="124" t="n"/>
      <c r="M20" s="124" t="n"/>
      <c r="N20" s="124" t="n"/>
      <c r="O20" s="198" t="n"/>
      <c r="P20" s="196" t="n"/>
      <c r="Q20" s="199">
        <f>IF(I20="No aplica",0,H20)</f>
        <v/>
      </c>
      <c r="R20" s="199">
        <f>IF(ISNUMBER(J20),J20*H20,0)</f>
        <v/>
      </c>
    </row>
    <row r="21" ht="49" customHeight="1">
      <c r="A21" s="188" t="inlineStr">
        <is>
          <t>S-13</t>
        </is>
      </c>
      <c r="B21" s="189" t="inlineStr">
        <is>
          <t>02. Políticas mínimas</t>
        </is>
      </c>
      <c r="C21" s="190" t="inlineStr">
        <is>
          <t>9.7.2 f</t>
        </is>
      </c>
      <c r="D21" s="191" t="inlineStr">
        <is>
          <t>176</t>
        </is>
      </c>
      <c r="E21" s="192" t="inlineStr">
        <is>
          <t>Política de prevención de la financiación de la proliferación de armas de destrucción masiva, con alertas en operaciones (incluye bienes de uso dual).</t>
        </is>
      </c>
      <c r="F21" s="193" t="inlineStr">
        <is>
          <t>Política FPADM aprobada; consulta de listas del Consejo de Seguridad ONU; alertas de uso dual en productos, clientes y rutas.</t>
        </is>
      </c>
      <c r="G21" s="194" t="inlineStr">
        <is>
          <t>Oficial de Cumplimiento</t>
        </is>
      </c>
      <c r="H21" s="195" t="n">
        <v>3</v>
      </c>
      <c r="I21" s="196" t="n"/>
      <c r="J21" s="197">
        <f>IF(I21="","",IF(I21="No aplica","N/A",INDEX(Escala!$C$5:$C$9,MATCH(I21,Escala!$B$5:$B$9,0))))</f>
        <v/>
      </c>
      <c r="K21" s="124" t="n"/>
      <c r="L21" s="124" t="n"/>
      <c r="M21" s="124" t="n"/>
      <c r="N21" s="124" t="n"/>
      <c r="O21" s="198" t="n"/>
      <c r="P21" s="196" t="n"/>
      <c r="Q21" s="199">
        <f>IF(I21="No aplica",0,H21)</f>
        <v/>
      </c>
      <c r="R21" s="199">
        <f>IF(ISNUMBER(J21),J21*H21,0)</f>
        <v/>
      </c>
    </row>
    <row r="22" ht="62" customHeight="1">
      <c r="A22" s="188" t="inlineStr">
        <is>
          <t>S-14</t>
        </is>
      </c>
      <c r="B22" s="189" t="inlineStr">
        <is>
          <t>02. Políticas mínimas</t>
        </is>
      </c>
      <c r="C22" s="190" t="inlineStr">
        <is>
          <t>9.7.2 g</t>
        </is>
      </c>
      <c r="D22" s="191" t="inlineStr">
        <is>
          <t>176-177</t>
        </is>
      </c>
      <c r="E22" s="192" t="inlineStr">
        <is>
          <t>Política de contratación estatal (etapas precontractual, contractual y poscontractual) con prohibición expresa de incentivos indebidos, falsificar documentos, dar información inexacta o aceptar pretensiones ilegales.</t>
        </is>
      </c>
      <c r="F22" s="193" t="inlineStr">
        <is>
          <t>Política aprobada; DD en procesos de contratación pública; inventario de contratos estatales (o 'No aplica' justificado).</t>
        </is>
      </c>
      <c r="G22" s="194" t="inlineStr">
        <is>
          <t>RL / Jurídica</t>
        </is>
      </c>
      <c r="H22" s="195" t="n">
        <v>3</v>
      </c>
      <c r="I22" s="196" t="n"/>
      <c r="J22" s="197">
        <f>IF(I22="","",IF(I22="No aplica","N/A",INDEX(Escala!$C$5:$C$9,MATCH(I22,Escala!$B$5:$B$9,0))))</f>
        <v/>
      </c>
      <c r="K22" s="124" t="n"/>
      <c r="L22" s="124" t="n"/>
      <c r="M22" s="124" t="n"/>
      <c r="N22" s="124" t="n"/>
      <c r="O22" s="198" t="n"/>
      <c r="P22" s="196" t="n"/>
      <c r="Q22" s="199">
        <f>IF(I22="No aplica",0,H22)</f>
        <v/>
      </c>
      <c r="R22" s="199">
        <f>IF(ISNUMBER(J22),J22*H22,0)</f>
        <v/>
      </c>
    </row>
    <row r="23" ht="75" customHeight="1">
      <c r="A23" s="188" t="inlineStr">
        <is>
          <t>S-15</t>
        </is>
      </c>
      <c r="B23" s="189" t="inlineStr">
        <is>
          <t>02. Políticas mínimas</t>
        </is>
      </c>
      <c r="C23" s="190" t="inlineStr">
        <is>
          <t>9.7.2 h</t>
        </is>
      </c>
      <c r="D23" s="191" t="inlineStr">
        <is>
          <t>177</t>
        </is>
      </c>
      <c r="E23" s="192" t="inlineStr">
        <is>
          <t>Código de Ética articulado con el Sistema: expectativas de conducta, sistema de valores, ejemplos de dilemas éticos, evaluación periódica de percepción, instancia responsable, canales de denuncia/consulta y capacitación obligatoria en ética.</t>
        </is>
      </c>
      <c r="F23" s="193" t="inlineStr">
        <is>
          <t>Código vigente que contenga los 7 elementos; encuesta periódica de percepción; actas de la instancia de ética; registros de capacitación.</t>
        </is>
      </c>
      <c r="G23" s="194" t="inlineStr">
        <is>
          <t>Junta Directiva / Talento humano / OC</t>
        </is>
      </c>
      <c r="H23" s="195" t="n">
        <v>3</v>
      </c>
      <c r="I23" s="196" t="n"/>
      <c r="J23" s="197">
        <f>IF(I23="","",IF(I23="No aplica","N/A",INDEX(Escala!$C$5:$C$9,MATCH(I23,Escala!$B$5:$B$9,0))))</f>
        <v/>
      </c>
      <c r="K23" s="124" t="n"/>
      <c r="L23" s="124" t="n"/>
      <c r="M23" s="124" t="n"/>
      <c r="N23" s="124" t="n"/>
      <c r="O23" s="198" t="n"/>
      <c r="P23" s="196" t="n"/>
      <c r="Q23" s="199">
        <f>IF(I23="No aplica",0,H23)</f>
        <v/>
      </c>
      <c r="R23" s="199">
        <f>IF(ISNUMBER(J23),J23*H23,0)</f>
        <v/>
      </c>
    </row>
    <row r="24" ht="49" customHeight="1">
      <c r="A24" s="188" t="inlineStr">
        <is>
          <t>S-16</t>
        </is>
      </c>
      <c r="B24" s="189" t="inlineStr">
        <is>
          <t>02. Políticas mínimas</t>
        </is>
      </c>
      <c r="C24" s="190" t="inlineStr">
        <is>
          <t>9.7.2 i</t>
        </is>
      </c>
      <c r="D24" s="191" t="inlineStr">
        <is>
          <t>177</t>
        </is>
      </c>
      <c r="E24" s="192" t="inlineStr">
        <is>
          <t>Incorporar las demás políticas de los lineamientos mínimos de Transparencia y Ética Empresarial de la Secretaría de Transparencia de la Presidencia.</t>
        </is>
      </c>
      <c r="F24" s="193" t="inlineStr">
        <is>
          <t>Cruce documentado entre los lineamientos de la Secretaría de Transparencia y las políticas adoptadas.</t>
        </is>
      </c>
      <c r="G24" s="194" t="inlineStr">
        <is>
          <t>Oficial de Cumplimiento</t>
        </is>
      </c>
      <c r="H24" s="195" t="n">
        <v>2</v>
      </c>
      <c r="I24" s="196" t="n"/>
      <c r="J24" s="197">
        <f>IF(I24="","",IF(I24="No aplica","N/A",INDEX(Escala!$C$5:$C$9,MATCH(I24,Escala!$B$5:$B$9,0))))</f>
        <v/>
      </c>
      <c r="K24" s="124" t="n"/>
      <c r="L24" s="124" t="n"/>
      <c r="M24" s="124" t="n"/>
      <c r="N24" s="124" t="n"/>
      <c r="O24" s="198" t="n"/>
      <c r="P24" s="196" t="n"/>
      <c r="Q24" s="199">
        <f>IF(I24="No aplica",0,H24)</f>
        <v/>
      </c>
      <c r="R24" s="199">
        <f>IF(ISNUMBER(J24),J24*H24,0)</f>
        <v/>
      </c>
    </row>
    <row r="25" ht="24" customHeight="1">
      <c r="A25" s="184" t="inlineStr">
        <is>
          <t>03  ·  Funciones de la Junta Directiva / máximo órgano     (8 requisitos)</t>
        </is>
      </c>
      <c r="B25" s="185" t="n"/>
      <c r="C25" s="185" t="n"/>
      <c r="D25" s="185" t="n"/>
      <c r="E25" s="185" t="n"/>
      <c r="F25" s="185" t="n"/>
      <c r="G25" s="185" t="n"/>
      <c r="H25" s="185" t="n"/>
      <c r="I25" s="186" t="n"/>
      <c r="J25" s="187">
        <f>IFERROR(SUMIFS($R$7:$R$400,$B$7:$B$400,"03. Funciones de la Junta Directiva / máximo órgano")/SUMIFS($Q$7:$Q$400,$B$7:$B$400,"03. Funciones de la Junta Directiva / máximo órgano"),"N/A")</f>
        <v/>
      </c>
      <c r="K25" s="186" t="n"/>
      <c r="L25" s="186" t="n"/>
      <c r="M25" s="186" t="n"/>
      <c r="N25" s="186" t="n"/>
      <c r="O25" s="186" t="n"/>
      <c r="P25" s="186" t="n"/>
      <c r="Q25" s="108" t="n"/>
      <c r="R25" s="108" t="n"/>
    </row>
    <row r="26" ht="49" customHeight="1">
      <c r="A26" s="188" t="inlineStr">
        <is>
          <t>S-17</t>
        </is>
      </c>
      <c r="B26" s="189" t="inlineStr">
        <is>
          <t>03. Funciones de la Junta Directiva / máximo órgano</t>
        </is>
      </c>
      <c r="C26" s="190" t="inlineStr">
        <is>
          <t>9.7.3 a</t>
        </is>
      </c>
      <c r="D26" s="191" t="inlineStr">
        <is>
          <t>178</t>
        </is>
      </c>
      <c r="E26" s="192" t="inlineStr">
        <is>
          <t>Asignar expresamente a la Junta Directiva (o máximo órgano) las funciones mínimas, y que el OC documente las comunicaciones sobre ellas y las consecuencias de su incumplimiento.</t>
        </is>
      </c>
      <c r="F26" s="193" t="inlineStr">
        <is>
          <t>Reglamento de Junta o acta con funciones asignadas; comunicación del OC a la Junta archivada.</t>
        </is>
      </c>
      <c r="G26" s="194" t="inlineStr">
        <is>
          <t>Junta Directiva / OC</t>
        </is>
      </c>
      <c r="H26" s="195" t="n">
        <v>2</v>
      </c>
      <c r="I26" s="196" t="n"/>
      <c r="J26" s="197">
        <f>IF(I26="","",IF(I26="No aplica","N/A",INDEX(Escala!$C$5:$C$9,MATCH(I26,Escala!$B$5:$B$9,0))))</f>
        <v/>
      </c>
      <c r="K26" s="124" t="n"/>
      <c r="L26" s="124" t="n"/>
      <c r="M26" s="124" t="n"/>
      <c r="N26" s="124" t="n"/>
      <c r="O26" s="198" t="n"/>
      <c r="P26" s="196" t="n"/>
      <c r="Q26" s="199">
        <f>IF(I26="No aplica",0,H26)</f>
        <v/>
      </c>
      <c r="R26" s="199">
        <f>IF(ISNUMBER(J26),J26*H26,0)</f>
        <v/>
      </c>
    </row>
    <row r="27" ht="36" customHeight="1">
      <c r="A27" s="188" t="inlineStr">
        <is>
          <t>S-18</t>
        </is>
      </c>
      <c r="B27" s="189" t="inlineStr">
        <is>
          <t>03. Funciones de la Junta Directiva / máximo órgano</t>
        </is>
      </c>
      <c r="C27" s="190" t="inlineStr">
        <is>
          <t>9.7.3 a.1</t>
        </is>
      </c>
      <c r="D27" s="191" t="inlineStr">
        <is>
          <t>178</t>
        </is>
      </c>
      <c r="E27" s="192" t="inlineStr">
        <is>
          <t>Aprobar mediante acta el Sistema y sus actualizaciones, ajustado a las particularidades del Sujeto Obligado.</t>
        </is>
      </c>
      <c r="F27" s="193" t="inlineStr">
        <is>
          <t>Acta de Junta / máximo órgano que aprueba el Sistema unificado y cada actualización.</t>
        </is>
      </c>
      <c r="G27" s="194" t="inlineStr">
        <is>
          <t>Junta Directiva</t>
        </is>
      </c>
      <c r="H27" s="195" t="n">
        <v>3</v>
      </c>
      <c r="I27" s="196" t="n"/>
      <c r="J27" s="197">
        <f>IF(I27="","",IF(I27="No aplica","N/A",INDEX(Escala!$C$5:$C$9,MATCH(I27,Escala!$B$5:$B$9,0))))</f>
        <v/>
      </c>
      <c r="K27" s="124" t="n"/>
      <c r="L27" s="124" t="n"/>
      <c r="M27" s="124" t="n"/>
      <c r="N27" s="124" t="n"/>
      <c r="O27" s="198" t="n"/>
      <c r="P27" s="196" t="n"/>
      <c r="Q27" s="199">
        <f>IF(I27="No aplica",0,H27)</f>
        <v/>
      </c>
      <c r="R27" s="199">
        <f>IF(ISNUMBER(J27),J27*H27,0)</f>
        <v/>
      </c>
    </row>
    <row r="28" ht="49" customHeight="1">
      <c r="A28" s="188" t="inlineStr">
        <is>
          <t>S-19</t>
        </is>
      </c>
      <c r="B28" s="189" t="inlineStr">
        <is>
          <t>03. Funciones de la Junta Directiva / máximo órgano</t>
        </is>
      </c>
      <c r="C28" s="190" t="inlineStr">
        <is>
          <t>9.7.3 a.2</t>
        </is>
      </c>
      <c r="D28" s="191" t="inlineStr">
        <is>
          <t>178</t>
        </is>
      </c>
      <c r="E28" s="192" t="inlineStr">
        <is>
          <t>Designar al OC principal y suplente verificando disponibilidad, capacidad, competencias y ausencia de inhabilidades e incompatibilidades.</t>
        </is>
      </c>
      <c r="F28" s="193" t="inlineStr">
        <is>
          <t>Acta de designación de ambos con soporte de la verificación de requisitos.</t>
        </is>
      </c>
      <c r="G28" s="194" t="inlineStr">
        <is>
          <t>Junta Directiva</t>
        </is>
      </c>
      <c r="H28" s="195" t="n">
        <v>3</v>
      </c>
      <c r="I28" s="196" t="n"/>
      <c r="J28" s="197">
        <f>IF(I28="","",IF(I28="No aplica","N/A",INDEX(Escala!$C$5:$C$9,MATCH(I28,Escala!$B$5:$B$9,0))))</f>
        <v/>
      </c>
      <c r="K28" s="124" t="n"/>
      <c r="L28" s="124" t="n"/>
      <c r="M28" s="124" t="n"/>
      <c r="N28" s="124" t="n"/>
      <c r="O28" s="198" t="n"/>
      <c r="P28" s="196" t="n"/>
      <c r="Q28" s="199">
        <f>IF(I28="No aplica",0,H28)</f>
        <v/>
      </c>
      <c r="R28" s="199">
        <f>IF(ISNUMBER(J28),J28*H28,0)</f>
        <v/>
      </c>
    </row>
    <row r="29" ht="49" customHeight="1">
      <c r="A29" s="188" t="inlineStr">
        <is>
          <t>S-20</t>
        </is>
      </c>
      <c r="B29" s="189" t="inlineStr">
        <is>
          <t>03. Funciones de la Junta Directiva / máximo órgano</t>
        </is>
      </c>
      <c r="C29" s="190" t="inlineStr">
        <is>
          <t>9.7.3 a.3-a.4</t>
        </is>
      </c>
      <c r="D29" s="191" t="inlineStr">
        <is>
          <t>178</t>
        </is>
      </c>
      <c r="E29" s="192" t="inlineStr">
        <is>
          <t>Estudiar los informes del Sistema, decidir sobre correctivos y actualizaciones propuestos por el OC y analizar las solicitudes del RL y del OC, dejando constancia en actas.</t>
        </is>
      </c>
      <c r="F29" s="193" t="inlineStr">
        <is>
          <t>Actas con pronunciamiento y decisión expresa sobre cada informe y propuesta (no basta con 'se presentó').</t>
        </is>
      </c>
      <c r="G29" s="194" t="inlineStr">
        <is>
          <t>Junta Directiva</t>
        </is>
      </c>
      <c r="H29" s="195" t="n">
        <v>3</v>
      </c>
      <c r="I29" s="196" t="n"/>
      <c r="J29" s="197">
        <f>IF(I29="","",IF(I29="No aplica","N/A",INDEX(Escala!$C$5:$C$9,MATCH(I29,Escala!$B$5:$B$9,0))))</f>
        <v/>
      </c>
      <c r="K29" s="124" t="n"/>
      <c r="L29" s="124" t="n"/>
      <c r="M29" s="124" t="n"/>
      <c r="N29" s="124" t="n"/>
      <c r="O29" s="198" t="n"/>
      <c r="P29" s="196" t="n"/>
      <c r="Q29" s="199">
        <f>IF(I29="No aplica",0,H29)</f>
        <v/>
      </c>
      <c r="R29" s="199">
        <f>IF(ISNUMBER(J29),J29*H29,0)</f>
        <v/>
      </c>
    </row>
    <row r="30" ht="49" customHeight="1">
      <c r="A30" s="188" t="inlineStr">
        <is>
          <t>S-21</t>
        </is>
      </c>
      <c r="B30" s="189" t="inlineStr">
        <is>
          <t>03. Funciones de la Junta Directiva / máximo órgano</t>
        </is>
      </c>
      <c r="C30" s="190" t="inlineStr">
        <is>
          <t>9.7.3 a.5</t>
        </is>
      </c>
      <c r="D30" s="191" t="inlineStr">
        <is>
          <t>178</t>
        </is>
      </c>
      <c r="E30" s="192" t="inlineStr">
        <is>
          <t>Pronunciarse sobre los informes de revisoría fiscal y auditorías relacionados con el Sistema y hacer seguimiento a sus observaciones, en actas.</t>
        </is>
      </c>
      <c r="F30" s="193" t="inlineStr">
        <is>
          <t>Actas con pronunciamiento y seguimiento periódico a recomendaciones.</t>
        </is>
      </c>
      <c r="G30" s="194" t="inlineStr">
        <is>
          <t>Junta Directiva</t>
        </is>
      </c>
      <c r="H30" s="195" t="n">
        <v>2</v>
      </c>
      <c r="I30" s="196" t="n"/>
      <c r="J30" s="197">
        <f>IF(I30="","",IF(I30="No aplica","N/A",INDEX(Escala!$C$5:$C$9,MATCH(I30,Escala!$B$5:$B$9,0))))</f>
        <v/>
      </c>
      <c r="K30" s="124" t="n"/>
      <c r="L30" s="124" t="n"/>
      <c r="M30" s="124" t="n"/>
      <c r="N30" s="124" t="n"/>
      <c r="O30" s="198" t="n"/>
      <c r="P30" s="196" t="n"/>
      <c r="Q30" s="199">
        <f>IF(I30="No aplica",0,H30)</f>
        <v/>
      </c>
      <c r="R30" s="199">
        <f>IF(ISNUMBER(J30),J30*H30,0)</f>
        <v/>
      </c>
    </row>
    <row r="31" ht="49" customHeight="1">
      <c r="A31" s="188" t="inlineStr">
        <is>
          <t>S-22</t>
        </is>
      </c>
      <c r="B31" s="189" t="inlineStr">
        <is>
          <t>03. Funciones de la Junta Directiva / máximo órgano</t>
        </is>
      </c>
      <c r="C31" s="190" t="inlineStr">
        <is>
          <t>9.7.3 a.6, a.11</t>
        </is>
      </c>
      <c r="D31" s="191" t="inlineStr">
        <is>
          <t>179</t>
        </is>
      </c>
      <c r="E31" s="192" t="inlineStr">
        <is>
          <t>Garantizar recursos operativos, financieros, físicos y tecnológicos para el OC y asegurar su autonomía e independencia.</t>
        </is>
      </c>
      <c r="F31" s="193" t="inlineStr">
        <is>
          <t>Presupuesto aprobado para cumplimiento; herramientas de consulta; organigrama con dependencia directa.</t>
        </is>
      </c>
      <c r="G31" s="194" t="inlineStr">
        <is>
          <t>Junta Directiva</t>
        </is>
      </c>
      <c r="H31" s="195" t="n">
        <v>3</v>
      </c>
      <c r="I31" s="196" t="n"/>
      <c r="J31" s="197">
        <f>IF(I31="","",IF(I31="No aplica","N/A",INDEX(Escala!$C$5:$C$9,MATCH(I31,Escala!$B$5:$B$9,0))))</f>
        <v/>
      </c>
      <c r="K31" s="124" t="n"/>
      <c r="L31" s="124" t="n"/>
      <c r="M31" s="124" t="n"/>
      <c r="N31" s="124" t="n"/>
      <c r="O31" s="198" t="n"/>
      <c r="P31" s="196" t="n"/>
      <c r="Q31" s="199">
        <f>IF(I31="No aplica",0,H31)</f>
        <v/>
      </c>
      <c r="R31" s="199">
        <f>IF(ISNUMBER(J31),J31*H31,0)</f>
        <v/>
      </c>
    </row>
    <row r="32" ht="49" customHeight="1">
      <c r="A32" s="188" t="inlineStr">
        <is>
          <t>S-23</t>
        </is>
      </c>
      <c r="B32" s="189" t="inlineStr">
        <is>
          <t>03. Funciones de la Junta Directiva / máximo órgano</t>
        </is>
      </c>
      <c r="C32" s="190" t="inlineStr">
        <is>
          <t>9.7.3 a.7</t>
        </is>
      </c>
      <c r="D32" s="191" t="inlineStr">
        <is>
          <t>179</t>
        </is>
      </c>
      <c r="E32" s="192" t="inlineStr">
        <is>
          <t>Establecer criterios y estándares para vincular contrapartes PEP y para gestionar negocios con señales de alerta resultantes de la DD y DDI.</t>
        </is>
      </c>
      <c r="F32" s="193" t="inlineStr">
        <is>
          <t>Documento de criterios aprobado en acta.</t>
        </is>
      </c>
      <c r="G32" s="194" t="inlineStr">
        <is>
          <t>Junta Directiva</t>
        </is>
      </c>
      <c r="H32" s="195" t="n">
        <v>3</v>
      </c>
      <c r="I32" s="196" t="n"/>
      <c r="J32" s="197">
        <f>IF(I32="","",IF(I32="No aplica","N/A",INDEX(Escala!$C$5:$C$9,MATCH(I32,Escala!$B$5:$B$9,0))))</f>
        <v/>
      </c>
      <c r="K32" s="124" t="n"/>
      <c r="L32" s="124" t="n"/>
      <c r="M32" s="124" t="n"/>
      <c r="N32" s="124" t="n"/>
      <c r="O32" s="198" t="n"/>
      <c r="P32" s="196" t="n"/>
      <c r="Q32" s="199">
        <f>IF(I32="No aplica",0,H32)</f>
        <v/>
      </c>
      <c r="R32" s="199">
        <f>IF(ISNUMBER(J32),J32*H32,0)</f>
        <v/>
      </c>
    </row>
    <row r="33" ht="62" customHeight="1">
      <c r="A33" s="188" t="inlineStr">
        <is>
          <t>S-24</t>
        </is>
      </c>
      <c r="B33" s="189" t="inlineStr">
        <is>
          <t>03. Funciones de la Junta Directiva / máximo órgano</t>
        </is>
      </c>
      <c r="C33" s="190" t="inlineStr">
        <is>
          <t>9.7.3 a.8-a.10</t>
        </is>
      </c>
      <c r="D33" s="191" t="inlineStr">
        <is>
          <t>179</t>
        </is>
      </c>
      <c r="E33" s="192" t="inlineStr">
        <is>
          <t>Determinar medidas que garanticen la efectividad del Sistema, verificar que incluya sanciones para empleados, administradores, asociados y terceros (que consten en el acto o contrato) y promover la cultura de cumplimiento.</t>
        </is>
      </c>
      <c r="F33" s="193" t="inlineStr">
        <is>
          <t>Reglamento interno y contratos con cláusulas sancionatorias LA/FT/FP y C/ST; comunicaciones de la Junta sobre cultura de cumplimiento.</t>
        </is>
      </c>
      <c r="G33" s="194" t="inlineStr">
        <is>
          <t>Junta Directiva</t>
        </is>
      </c>
      <c r="H33" s="195" t="n">
        <v>2</v>
      </c>
      <c r="I33" s="196" t="n"/>
      <c r="J33" s="197">
        <f>IF(I33="","",IF(I33="No aplica","N/A",INDEX(Escala!$C$5:$C$9,MATCH(I33,Escala!$B$5:$B$9,0))))</f>
        <v/>
      </c>
      <c r="K33" s="124" t="n"/>
      <c r="L33" s="124" t="n"/>
      <c r="M33" s="124" t="n"/>
      <c r="N33" s="124" t="n"/>
      <c r="O33" s="198" t="n"/>
      <c r="P33" s="196" t="n"/>
      <c r="Q33" s="199">
        <f>IF(I33="No aplica",0,H33)</f>
        <v/>
      </c>
      <c r="R33" s="199">
        <f>IF(ISNUMBER(J33),J33*H33,0)</f>
        <v/>
      </c>
    </row>
    <row r="34" ht="24" customHeight="1">
      <c r="A34" s="184" t="inlineStr">
        <is>
          <t>04  ·  Funciones del Representante Legal     (7 requisitos)</t>
        </is>
      </c>
      <c r="B34" s="185" t="n"/>
      <c r="C34" s="185" t="n"/>
      <c r="D34" s="185" t="n"/>
      <c r="E34" s="185" t="n"/>
      <c r="F34" s="185" t="n"/>
      <c r="G34" s="185" t="n"/>
      <c r="H34" s="185" t="n"/>
      <c r="I34" s="186" t="n"/>
      <c r="J34" s="187">
        <f>IFERROR(SUMIFS($R$7:$R$400,$B$7:$B$400,"04. Funciones del Representante Legal")/SUMIFS($Q$7:$Q$400,$B$7:$B$400,"04. Funciones del Representante Legal"),"N/A")</f>
        <v/>
      </c>
      <c r="K34" s="186" t="n"/>
      <c r="L34" s="186" t="n"/>
      <c r="M34" s="186" t="n"/>
      <c r="N34" s="186" t="n"/>
      <c r="O34" s="186" t="n"/>
      <c r="P34" s="186" t="n"/>
      <c r="Q34" s="108" t="n"/>
      <c r="R34" s="108" t="n"/>
    </row>
    <row r="35" ht="36" customHeight="1">
      <c r="A35" s="188" t="inlineStr">
        <is>
          <t>S-25</t>
        </is>
      </c>
      <c r="B35" s="189" t="inlineStr">
        <is>
          <t>04. Funciones del Representante Legal</t>
        </is>
      </c>
      <c r="C35" s="190" t="inlineStr">
        <is>
          <t>9.7.3 b.1</t>
        </is>
      </c>
      <c r="D35" s="191" t="inlineStr">
        <is>
          <t>179</t>
        </is>
      </c>
      <c r="E35" s="192" t="inlineStr">
        <is>
          <t>Presentar con el OC, para aprobación de la Junta, la propuesta del Sistema y sus actualizaciones.</t>
        </is>
      </c>
      <c r="F35" s="193" t="inlineStr">
        <is>
          <t>Acta donde conste la presentación conjunta RL + OC.</t>
        </is>
      </c>
      <c r="G35" s="194" t="inlineStr">
        <is>
          <t>Representante Legal</t>
        </is>
      </c>
      <c r="H35" s="195" t="n">
        <v>2</v>
      </c>
      <c r="I35" s="196" t="n"/>
      <c r="J35" s="197">
        <f>IF(I35="","",IF(I35="No aplica","N/A",INDEX(Escala!$C$5:$C$9,MATCH(I35,Escala!$B$5:$B$9,0))))</f>
        <v/>
      </c>
      <c r="K35" s="124" t="n"/>
      <c r="L35" s="124" t="n"/>
      <c r="M35" s="124" t="n"/>
      <c r="N35" s="124" t="n"/>
      <c r="O35" s="198" t="n"/>
      <c r="P35" s="196" t="n"/>
      <c r="Q35" s="199">
        <f>IF(I35="No aplica",0,H35)</f>
        <v/>
      </c>
      <c r="R35" s="199">
        <f>IF(ISNUMBER(J35),J35*H35,0)</f>
        <v/>
      </c>
    </row>
    <row r="36" ht="36" customHeight="1">
      <c r="A36" s="188" t="inlineStr">
        <is>
          <t>S-26</t>
        </is>
      </c>
      <c r="B36" s="189" t="inlineStr">
        <is>
          <t>04. Funciones del Representante Legal</t>
        </is>
      </c>
      <c r="C36" s="190" t="inlineStr">
        <is>
          <t>9.7.3 b.2</t>
        </is>
      </c>
      <c r="D36" s="191" t="inlineStr">
        <is>
          <t>179</t>
        </is>
      </c>
      <c r="E36" s="192" t="inlineStr">
        <is>
          <t>Estudiar los resultados de la evaluación de riesgo realizada por el OC y establecer los planes de acción.</t>
        </is>
      </c>
      <c r="F36" s="193" t="inlineStr">
        <is>
          <t>Plan de acción firmado por el RL con responsables y fechas.</t>
        </is>
      </c>
      <c r="G36" s="194" t="inlineStr">
        <is>
          <t>Representante Legal</t>
        </is>
      </c>
      <c r="H36" s="195" t="n">
        <v>3</v>
      </c>
      <c r="I36" s="196" t="n"/>
      <c r="J36" s="197">
        <f>IF(I36="","",IF(I36="No aplica","N/A",INDEX(Escala!$C$5:$C$9,MATCH(I36,Escala!$B$5:$B$9,0))))</f>
        <v/>
      </c>
      <c r="K36" s="124" t="n"/>
      <c r="L36" s="124" t="n"/>
      <c r="M36" s="124" t="n"/>
      <c r="N36" s="124" t="n"/>
      <c r="O36" s="198" t="n"/>
      <c r="P36" s="196" t="n"/>
      <c r="Q36" s="199">
        <f>IF(I36="No aplica",0,H36)</f>
        <v/>
      </c>
      <c r="R36" s="199">
        <f>IF(ISNUMBER(J36),J36*H36,0)</f>
        <v/>
      </c>
    </row>
    <row r="37" ht="36" customHeight="1">
      <c r="A37" s="188" t="inlineStr">
        <is>
          <t>S-27</t>
        </is>
      </c>
      <c r="B37" s="189" t="inlineStr">
        <is>
          <t>04. Funciones del Representante Legal</t>
        </is>
      </c>
      <c r="C37" s="190" t="inlineStr">
        <is>
          <t>9.7.3 b.3-b.4</t>
        </is>
      </c>
      <c r="D37" s="191" t="inlineStr">
        <is>
          <t>179</t>
        </is>
      </c>
      <c r="E37" s="192" t="inlineStr">
        <is>
          <t>Asignar eficientemente los recursos definidos por la Junta y prestar apoyo eficiente, efectivo y oportuno al OC.</t>
        </is>
      </c>
      <c r="F37" s="193" t="inlineStr">
        <is>
          <t>Ejecución presupuestal; accesos y personal asignados al OC.</t>
        </is>
      </c>
      <c r="G37" s="194" t="inlineStr">
        <is>
          <t>Representante Legal</t>
        </is>
      </c>
      <c r="H37" s="195" t="n">
        <v>2</v>
      </c>
      <c r="I37" s="196" t="n"/>
      <c r="J37" s="197">
        <f>IF(I37="","",IF(I37="No aplica","N/A",INDEX(Escala!$C$5:$C$9,MATCH(I37,Escala!$B$5:$B$9,0))))</f>
        <v/>
      </c>
      <c r="K37" s="124" t="n"/>
      <c r="L37" s="124" t="n"/>
      <c r="M37" s="124" t="n"/>
      <c r="N37" s="124" t="n"/>
      <c r="O37" s="198" t="n"/>
      <c r="P37" s="196" t="n"/>
      <c r="Q37" s="199">
        <f>IF(I37="No aplica",0,H37)</f>
        <v/>
      </c>
      <c r="R37" s="199">
        <f>IF(ISNUMBER(J37),J37*H37,0)</f>
        <v/>
      </c>
    </row>
    <row r="38" ht="36" customHeight="1">
      <c r="A38" s="188" t="inlineStr">
        <is>
          <t>S-28</t>
        </is>
      </c>
      <c r="B38" s="189" t="inlineStr">
        <is>
          <t>04. Funciones del Representante Legal</t>
        </is>
      </c>
      <c r="C38" s="190" t="inlineStr">
        <is>
          <t>9.7.3 b.5</t>
        </is>
      </c>
      <c r="D38" s="191" t="inlineStr">
        <is>
          <t>179</t>
        </is>
      </c>
      <c r="E38" s="192" t="inlineStr">
        <is>
          <t>Presentar a la Junta los reportes, solicitudes, informes y alertas del Sistema que deban tratarse allí.</t>
        </is>
      </c>
      <c r="F38" s="193" t="inlineStr">
        <is>
          <t>Informes del RL a la Junta y actas.</t>
        </is>
      </c>
      <c r="G38" s="194" t="inlineStr">
        <is>
          <t>Representante Legal</t>
        </is>
      </c>
      <c r="H38" s="195" t="n">
        <v>2</v>
      </c>
      <c r="I38" s="196" t="n"/>
      <c r="J38" s="197">
        <f>IF(I38="","",IF(I38="No aplica","N/A",INDEX(Escala!$C$5:$C$9,MATCH(I38,Escala!$B$5:$B$9,0))))</f>
        <v/>
      </c>
      <c r="K38" s="124" t="n"/>
      <c r="L38" s="124" t="n"/>
      <c r="M38" s="124" t="n"/>
      <c r="N38" s="124" t="n"/>
      <c r="O38" s="198" t="n"/>
      <c r="P38" s="196" t="n"/>
      <c r="Q38" s="199">
        <f>IF(I38="No aplica",0,H38)</f>
        <v/>
      </c>
      <c r="R38" s="199">
        <f>IF(ISNUMBER(J38),J38*H38,0)</f>
        <v/>
      </c>
    </row>
    <row r="39" ht="36" customHeight="1">
      <c r="A39" s="188" t="inlineStr">
        <is>
          <t>S-30</t>
        </is>
      </c>
      <c r="B39" s="189" t="inlineStr">
        <is>
          <t>04. Funciones del Representante Legal</t>
        </is>
      </c>
      <c r="C39" s="190" t="inlineStr">
        <is>
          <t>9.7.3 b.7</t>
        </is>
      </c>
      <c r="D39" s="191" t="inlineStr">
        <is>
          <t>180</t>
        </is>
      </c>
      <c r="E39" s="192" t="inlineStr">
        <is>
          <t>Certificar ante la Supersociedades el cumplimiento del Capítulo cuando esta lo requiera.</t>
        </is>
      </c>
      <c r="F39" s="193" t="inlineStr">
        <is>
          <t>Certificaciones radicadas y respuestas a requerimientos.</t>
        </is>
      </c>
      <c r="G39" s="194" t="inlineStr">
        <is>
          <t>Representante Legal</t>
        </is>
      </c>
      <c r="H39" s="195" t="n">
        <v>2</v>
      </c>
      <c r="I39" s="196" t="n"/>
      <c r="J39" s="197">
        <f>IF(I39="","",IF(I39="No aplica","N/A",INDEX(Escala!$C$5:$C$9,MATCH(I39,Escala!$B$5:$B$9,0))))</f>
        <v/>
      </c>
      <c r="K39" s="124" t="n"/>
      <c r="L39" s="124" t="n"/>
      <c r="M39" s="124" t="n"/>
      <c r="N39" s="124" t="n"/>
      <c r="O39" s="198" t="n"/>
      <c r="P39" s="196" t="n"/>
      <c r="Q39" s="199">
        <f>IF(I39="No aplica",0,H39)</f>
        <v/>
      </c>
      <c r="R39" s="199">
        <f>IF(ISNUMBER(J39),J39*H39,0)</f>
        <v/>
      </c>
    </row>
    <row r="40" ht="36" customHeight="1">
      <c r="A40" s="188" t="inlineStr">
        <is>
          <t>S-31</t>
        </is>
      </c>
      <c r="B40" s="189" t="inlineStr">
        <is>
          <t>04. Funciones del Representante Legal</t>
        </is>
      </c>
      <c r="C40" s="190" t="inlineStr">
        <is>
          <t>9.7.3 b.8</t>
        </is>
      </c>
      <c r="D40" s="191" t="inlineStr">
        <is>
          <t>180</t>
        </is>
      </c>
      <c r="E40" s="192" t="inlineStr">
        <is>
          <t>Proponer a la Junta la persona que ocupará el cargo de OC.</t>
        </is>
      </c>
      <c r="F40" s="193" t="inlineStr">
        <is>
          <t>Acta en la que conste la propuesta del RL.</t>
        </is>
      </c>
      <c r="G40" s="194" t="inlineStr">
        <is>
          <t>Representante Legal</t>
        </is>
      </c>
      <c r="H40" s="195" t="n">
        <v>1</v>
      </c>
      <c r="I40" s="196" t="n"/>
      <c r="J40" s="197">
        <f>IF(I40="","",IF(I40="No aplica","N/A",INDEX(Escala!$C$5:$C$9,MATCH(I40,Escala!$B$5:$B$9,0))))</f>
        <v/>
      </c>
      <c r="K40" s="124" t="n"/>
      <c r="L40" s="124" t="n"/>
      <c r="M40" s="124" t="n"/>
      <c r="N40" s="124" t="n"/>
      <c r="O40" s="198" t="n"/>
      <c r="P40" s="196" t="n"/>
      <c r="Q40" s="199">
        <f>IF(I40="No aplica",0,H40)</f>
        <v/>
      </c>
      <c r="R40" s="199">
        <f>IF(ISNUMBER(J40),J40*H40,0)</f>
        <v/>
      </c>
    </row>
    <row r="41" ht="49" customHeight="1">
      <c r="A41" s="188" t="inlineStr">
        <is>
          <t>S-32</t>
        </is>
      </c>
      <c r="B41" s="189" t="inlineStr">
        <is>
          <t>04. Funciones del Representante Legal</t>
        </is>
      </c>
      <c r="C41" s="190" t="inlineStr">
        <is>
          <t>9.7.3 b.9</t>
        </is>
      </c>
      <c r="D41" s="191" t="inlineStr">
        <is>
          <t>180</t>
        </is>
      </c>
      <c r="E41" s="192" t="inlineStr">
        <is>
          <t>Aplicar los criterios de la Junta sobre vinculación de PEP y negocios con alertas, y tomar las decisiones específicas de vinculación.</t>
        </is>
      </c>
      <c r="F41" s="193" t="inlineStr">
        <is>
          <t>Registro de aprobaciones del RL para cada PEP o caso con alertas.</t>
        </is>
      </c>
      <c r="G41" s="194" t="inlineStr">
        <is>
          <t>Representante Legal</t>
        </is>
      </c>
      <c r="H41" s="195" t="n">
        <v>3</v>
      </c>
      <c r="I41" s="196" t="n"/>
      <c r="J41" s="197">
        <f>IF(I41="","",IF(I41="No aplica","N/A",INDEX(Escala!$C$5:$C$9,MATCH(I41,Escala!$B$5:$B$9,0))))</f>
        <v/>
      </c>
      <c r="K41" s="124" t="n"/>
      <c r="L41" s="124" t="n"/>
      <c r="M41" s="124" t="n"/>
      <c r="N41" s="124" t="n"/>
      <c r="O41" s="198" t="n"/>
      <c r="P41" s="196" t="n"/>
      <c r="Q41" s="199">
        <f>IF(I41="No aplica",0,H41)</f>
        <v/>
      </c>
      <c r="R41" s="199">
        <f>IF(ISNUMBER(J41),J41*H41,0)</f>
        <v/>
      </c>
    </row>
    <row r="42" ht="24" customHeight="1">
      <c r="A42" s="184" t="inlineStr">
        <is>
          <t>05  ·  Divulgación y capacitación     (5 requisitos)</t>
        </is>
      </c>
      <c r="B42" s="185" t="n"/>
      <c r="C42" s="185" t="n"/>
      <c r="D42" s="185" t="n"/>
      <c r="E42" s="185" t="n"/>
      <c r="F42" s="185" t="n"/>
      <c r="G42" s="185" t="n"/>
      <c r="H42" s="185" t="n"/>
      <c r="I42" s="186" t="n"/>
      <c r="J42" s="187">
        <f>IFERROR(SUMIFS($R$7:$R$400,$B$7:$B$400,"05. Divulgación y capacitación")/SUMIFS($Q$7:$Q$400,$B$7:$B$400,"05. Divulgación y capacitación"),"N/A")</f>
        <v/>
      </c>
      <c r="K42" s="186" t="n"/>
      <c r="L42" s="186" t="n"/>
      <c r="M42" s="186" t="n"/>
      <c r="N42" s="186" t="n"/>
      <c r="O42" s="186" t="n"/>
      <c r="P42" s="186" t="n"/>
      <c r="Q42" s="108" t="n"/>
      <c r="R42" s="108" t="n"/>
    </row>
    <row r="43" ht="36" customHeight="1">
      <c r="A43" s="188" t="inlineStr">
        <is>
          <t>S-33</t>
        </is>
      </c>
      <c r="B43" s="189" t="inlineStr">
        <is>
          <t>05. Divulgación y capacitación</t>
        </is>
      </c>
      <c r="C43" s="190" t="inlineStr">
        <is>
          <t>9.8</t>
        </is>
      </c>
      <c r="D43" s="191" t="inlineStr">
        <is>
          <t>180</t>
        </is>
      </c>
      <c r="E43" s="192" t="inlineStr">
        <is>
          <t>Divulgar y capacitar sobre el Sistema y sus políticas al interior y a las contrapartes, como mínimo una (1) vez al año.</t>
        </is>
      </c>
      <c r="F43" s="193" t="inlineStr">
        <is>
          <t>Plan anual ejecutado; evidencia de divulgación a clientes, proveedores y contratistas.</t>
        </is>
      </c>
      <c r="G43" s="194" t="inlineStr">
        <is>
          <t>Oficial de Cumplimiento</t>
        </is>
      </c>
      <c r="H43" s="195" t="n">
        <v>3</v>
      </c>
      <c r="I43" s="196" t="n"/>
      <c r="J43" s="197">
        <f>IF(I43="","",IF(I43="No aplica","N/A",INDEX(Escala!$C$5:$C$9,MATCH(I43,Escala!$B$5:$B$9,0))))</f>
        <v/>
      </c>
      <c r="K43" s="124" t="n"/>
      <c r="L43" s="124" t="n"/>
      <c r="M43" s="124" t="n"/>
      <c r="N43" s="124" t="n"/>
      <c r="O43" s="198" t="n"/>
      <c r="P43" s="196" t="n"/>
      <c r="Q43" s="199">
        <f>IF(I43="No aplica",0,H43)</f>
        <v/>
      </c>
      <c r="R43" s="199">
        <f>IF(ISNUMBER(J43),J43*H43,0)</f>
        <v/>
      </c>
    </row>
    <row r="44" ht="36" customHeight="1">
      <c r="A44" s="188" t="inlineStr">
        <is>
          <t>S-34</t>
        </is>
      </c>
      <c r="B44" s="189" t="inlineStr">
        <is>
          <t>05. Divulgación y capacitación</t>
        </is>
      </c>
      <c r="C44" s="190" t="inlineStr">
        <is>
          <t>9.8</t>
        </is>
      </c>
      <c r="D44" s="191" t="inlineStr">
        <is>
          <t>180</t>
        </is>
      </c>
      <c r="E44" s="192" t="inlineStr">
        <is>
          <t>Dejar constancia de nombres de los asistentes, fecha y asuntos tratados.</t>
        </is>
      </c>
      <c r="F44" s="193" t="inlineStr">
        <is>
          <t>Listas de asistencia, certificados y contenidos de cada sesión.</t>
        </is>
      </c>
      <c r="G44" s="194" t="inlineStr">
        <is>
          <t>Oficial de Cumplimiento</t>
        </is>
      </c>
      <c r="H44" s="195" t="n">
        <v>3</v>
      </c>
      <c r="I44" s="196" t="n"/>
      <c r="J44" s="197">
        <f>IF(I44="","",IF(I44="No aplica","N/A",INDEX(Escala!$C$5:$C$9,MATCH(I44,Escala!$B$5:$B$9,0))))</f>
        <v/>
      </c>
      <c r="K44" s="124" t="n"/>
      <c r="L44" s="124" t="n"/>
      <c r="M44" s="124" t="n"/>
      <c r="N44" s="124" t="n"/>
      <c r="O44" s="198" t="n"/>
      <c r="P44" s="196" t="n"/>
      <c r="Q44" s="199">
        <f>IF(I44="No aplica",0,H44)</f>
        <v/>
      </c>
      <c r="R44" s="199">
        <f>IF(ISNUMBER(J44),J44*H44,0)</f>
        <v/>
      </c>
    </row>
    <row r="45" ht="49" customHeight="1">
      <c r="A45" s="188" t="inlineStr">
        <is>
          <t>S-35</t>
        </is>
      </c>
      <c r="B45" s="189" t="inlineStr">
        <is>
          <t>05. Divulgación y capacitación</t>
        </is>
      </c>
      <c r="C45" s="190" t="inlineStr">
        <is>
          <t>9.8</t>
        </is>
      </c>
      <c r="D45" s="191" t="inlineStr">
        <is>
          <t>180</t>
        </is>
      </c>
      <c r="E45" s="192" t="inlineStr">
        <is>
          <t>Usar estrategias comunicativas; priorizar áreas de mayor exposición con métodos interactivos y ejemplos prácticos, sin omitir la divulgación general.</t>
        </is>
      </c>
      <c r="F45" s="193" t="inlineStr">
        <is>
          <t>Plan de comunicaciones; sesiones focalizadas a compras, comercial, tesorería, etc.</t>
        </is>
      </c>
      <c r="G45" s="194" t="inlineStr">
        <is>
          <t>Oficial de Cumplimiento</t>
        </is>
      </c>
      <c r="H45" s="195" t="n">
        <v>2</v>
      </c>
      <c r="I45" s="196" t="n"/>
      <c r="J45" s="197">
        <f>IF(I45="","",IF(I45="No aplica","N/A",INDEX(Escala!$C$5:$C$9,MATCH(I45,Escala!$B$5:$B$9,0))))</f>
        <v/>
      </c>
      <c r="K45" s="124" t="n"/>
      <c r="L45" s="124" t="n"/>
      <c r="M45" s="124" t="n"/>
      <c r="N45" s="124" t="n"/>
      <c r="O45" s="198" t="n"/>
      <c r="P45" s="196" t="n"/>
      <c r="Q45" s="199">
        <f>IF(I45="No aplica",0,H45)</f>
        <v/>
      </c>
      <c r="R45" s="199">
        <f>IF(ISNUMBER(J45),J45*H45,0)</f>
        <v/>
      </c>
    </row>
    <row r="46" ht="49" customHeight="1">
      <c r="A46" s="188" t="inlineStr">
        <is>
          <t>S-36</t>
        </is>
      </c>
      <c r="B46" s="189" t="inlineStr">
        <is>
          <t>05. Divulgación y capacitación</t>
        </is>
      </c>
      <c r="C46" s="190" t="inlineStr">
        <is>
          <t>9.8</t>
        </is>
      </c>
      <c r="D46" s="191" t="inlineStr">
        <is>
          <t>180</t>
        </is>
      </c>
      <c r="E46" s="192" t="inlineStr">
        <is>
          <t>Como resultado, las partes interesadas deben identificar una operación inusual o sospechosa, una señal de alerta y cómo reportarlas.</t>
        </is>
      </c>
      <c r="F46" s="193" t="inlineStr">
        <is>
          <t>Evaluaciones posteriores a la capacitación con resultados medidos.</t>
        </is>
      </c>
      <c r="G46" s="194" t="inlineStr">
        <is>
          <t>Oficial de Cumplimiento</t>
        </is>
      </c>
      <c r="H46" s="195" t="n">
        <v>2</v>
      </c>
      <c r="I46" s="196" t="n"/>
      <c r="J46" s="197">
        <f>IF(I46="","",IF(I46="No aplica","N/A",INDEX(Escala!$C$5:$C$9,MATCH(I46,Escala!$B$5:$B$9,0))))</f>
        <v/>
      </c>
      <c r="K46" s="124" t="n"/>
      <c r="L46" s="124" t="n"/>
      <c r="M46" s="124" t="n"/>
      <c r="N46" s="124" t="n"/>
      <c r="O46" s="198" t="n"/>
      <c r="P46" s="196" t="n"/>
      <c r="Q46" s="199">
        <f>IF(I46="No aplica",0,H46)</f>
        <v/>
      </c>
      <c r="R46" s="199">
        <f>IF(ISNUMBER(J46),J46*H46,0)</f>
        <v/>
      </c>
    </row>
    <row r="47" ht="49" customHeight="1">
      <c r="A47" s="188" t="inlineStr">
        <is>
          <t>S-37</t>
        </is>
      </c>
      <c r="B47" s="189" t="inlineStr">
        <is>
          <t>05. Divulgación y capacitación</t>
        </is>
      </c>
      <c r="C47" s="190" t="inlineStr">
        <is>
          <t>9.8</t>
        </is>
      </c>
      <c r="D47" s="191" t="inlineStr">
        <is>
          <t>180</t>
        </is>
      </c>
      <c r="E47" s="192" t="inlineStr">
        <is>
          <t>Estrategia de comunicación en otros idiomas si opera en países de idioma distinto al castellano o tiene empleados o directivos expatriados.</t>
        </is>
      </c>
      <c r="F47" s="193" t="inlineStr">
        <is>
          <t>Material traducido (o 'No aplica').</t>
        </is>
      </c>
      <c r="G47" s="194" t="inlineStr">
        <is>
          <t>Oficial de Cumplimiento</t>
        </is>
      </c>
      <c r="H47" s="195" t="n">
        <v>1</v>
      </c>
      <c r="I47" s="196" t="n"/>
      <c r="J47" s="197">
        <f>IF(I47="","",IF(I47="No aplica","N/A",INDEX(Escala!$C$5:$C$9,MATCH(I47,Escala!$B$5:$B$9,0))))</f>
        <v/>
      </c>
      <c r="K47" s="124" t="n"/>
      <c r="L47" s="124" t="n"/>
      <c r="M47" s="124" t="n"/>
      <c r="N47" s="124" t="n"/>
      <c r="O47" s="198" t="n"/>
      <c r="P47" s="196" t="n"/>
      <c r="Q47" s="199">
        <f>IF(I47="No aplica",0,H47)</f>
        <v/>
      </c>
      <c r="R47" s="199">
        <f>IF(ISNUMBER(J47),J47*H47,0)</f>
        <v/>
      </c>
    </row>
    <row r="48" ht="24" customHeight="1">
      <c r="A48" s="184" t="inlineStr">
        <is>
          <t>06  ·  Oficial de Cumplimiento: estructura, requisitos e inhabilidades     (14 requisitos)</t>
        </is>
      </c>
      <c r="B48" s="185" t="n"/>
      <c r="C48" s="185" t="n"/>
      <c r="D48" s="185" t="n"/>
      <c r="E48" s="185" t="n"/>
      <c r="F48" s="185" t="n"/>
      <c r="G48" s="185" t="n"/>
      <c r="H48" s="185" t="n"/>
      <c r="I48" s="186" t="n"/>
      <c r="J48" s="187">
        <f>IFERROR(SUMIFS($R$7:$R$400,$B$7:$B$400,"06. Oficial de Cumplimiento: estructura, requisitos e inhabilidades")/SUMIFS($Q$7:$Q$400,$B$7:$B$400,"06. Oficial de Cumplimiento: estructura, requisitos e inhabilidades"),"N/A")</f>
        <v/>
      </c>
      <c r="K48" s="186" t="n"/>
      <c r="L48" s="186" t="n"/>
      <c r="M48" s="186" t="n"/>
      <c r="N48" s="186" t="n"/>
      <c r="O48" s="186" t="n"/>
      <c r="P48" s="186" t="n"/>
      <c r="Q48" s="108" t="n"/>
      <c r="R48" s="108" t="n"/>
    </row>
    <row r="49" ht="36" customHeight="1">
      <c r="A49" s="188" t="inlineStr">
        <is>
          <t>S-38</t>
        </is>
      </c>
      <c r="B49" s="189" t="inlineStr">
        <is>
          <t>06. Oficial de Cumplimiento: estructura, requisitos e inhabilidades</t>
        </is>
      </c>
      <c r="C49" s="190" t="inlineStr">
        <is>
          <t>9.9</t>
        </is>
      </c>
      <c r="D49" s="191" t="inlineStr">
        <is>
          <t>181</t>
        </is>
      </c>
      <c r="E49" s="192" t="inlineStr">
        <is>
          <t>El OC depende directamente de la Junta Directiva (o máximo órgano) y así se refleja en la estructura organizacional.</t>
        </is>
      </c>
      <c r="F49" s="193" t="inlineStr">
        <is>
          <t>Organigrama aprobado con línea de reporte directa a la Junta.</t>
        </is>
      </c>
      <c r="G49" s="194" t="inlineStr">
        <is>
          <t>Junta Directiva</t>
        </is>
      </c>
      <c r="H49" s="195" t="n">
        <v>3</v>
      </c>
      <c r="I49" s="196" t="n"/>
      <c r="J49" s="197">
        <f>IF(I49="","",IF(I49="No aplica","N/A",INDEX(Escala!$C$5:$C$9,MATCH(I49,Escala!$B$5:$B$9,0))))</f>
        <v/>
      </c>
      <c r="K49" s="124" t="n"/>
      <c r="L49" s="124" t="n"/>
      <c r="M49" s="124" t="n"/>
      <c r="N49" s="124" t="n"/>
      <c r="O49" s="198" t="n"/>
      <c r="P49" s="196" t="n"/>
      <c r="Q49" s="199">
        <f>IF(I49="No aplica",0,H49)</f>
        <v/>
      </c>
      <c r="R49" s="199">
        <f>IF(ISNUMBER(J49),J49*H49,0)</f>
        <v/>
      </c>
    </row>
    <row r="50" ht="36" customHeight="1">
      <c r="A50" s="188" t="inlineStr">
        <is>
          <t>S-39</t>
        </is>
      </c>
      <c r="B50" s="189" t="inlineStr">
        <is>
          <t>06. Oficial de Cumplimiento: estructura, requisitos e inhabilidades</t>
        </is>
      </c>
      <c r="C50" s="190" t="inlineStr">
        <is>
          <t>9.9</t>
        </is>
      </c>
      <c r="D50" s="191" t="inlineStr">
        <is>
          <t>181</t>
        </is>
      </c>
      <c r="E50" s="192" t="inlineStr">
        <is>
          <t>Contar con OC suplente con las mismas calidades y requisitos del principal.</t>
        </is>
      </c>
      <c r="F50" s="193" t="inlineStr">
        <is>
          <t>Acta de designación y soportes de requisitos del suplente.</t>
        </is>
      </c>
      <c r="G50" s="194" t="inlineStr">
        <is>
          <t>Junta Directiva</t>
        </is>
      </c>
      <c r="H50" s="195" t="n">
        <v>3</v>
      </c>
      <c r="I50" s="196" t="n"/>
      <c r="J50" s="197">
        <f>IF(I50="","",IF(I50="No aplica","N/A",INDEX(Escala!$C$5:$C$9,MATCH(I50,Escala!$B$5:$B$9,0))))</f>
        <v/>
      </c>
      <c r="K50" s="124" t="n"/>
      <c r="L50" s="124" t="n"/>
      <c r="M50" s="124" t="n"/>
      <c r="N50" s="124" t="n"/>
      <c r="O50" s="198" t="n"/>
      <c r="P50" s="196" t="n"/>
      <c r="Q50" s="199">
        <f>IF(I50="No aplica",0,H50)</f>
        <v/>
      </c>
      <c r="R50" s="199">
        <f>IF(ISNUMBER(J50),J50*H50,0)</f>
        <v/>
      </c>
    </row>
    <row r="51" ht="49" customHeight="1">
      <c r="A51" s="188" t="inlineStr">
        <is>
          <t>S-40</t>
        </is>
      </c>
      <c r="B51" s="189" t="inlineStr">
        <is>
          <t>06. Oficial de Cumplimiento: estructura, requisitos e inhabilidades</t>
        </is>
      </c>
      <c r="C51" s="190" t="inlineStr">
        <is>
          <t>9.9.1</t>
        </is>
      </c>
      <c r="D51" s="191" t="inlineStr">
        <is>
          <t>181</t>
        </is>
      </c>
      <c r="E51" s="192" t="inlineStr">
        <is>
          <t>El OC conoce el giro ordinario, tiene acceso suficiente y oportuno a la información, equipo humano y técnico acorde al riesgo y comunicación directa con la Junta.</t>
        </is>
      </c>
      <c r="F51" s="193" t="inlineStr">
        <is>
          <t>Accesos a sistemas; equipo asignado; agenda de reuniones con la Junta.</t>
        </is>
      </c>
      <c r="G51" s="194" t="inlineStr">
        <is>
          <t>Junta Directiva / RL</t>
        </is>
      </c>
      <c r="H51" s="195" t="n">
        <v>2</v>
      </c>
      <c r="I51" s="196" t="n"/>
      <c r="J51" s="197">
        <f>IF(I51="","",IF(I51="No aplica","N/A",INDEX(Escala!$C$5:$C$9,MATCH(I51,Escala!$B$5:$B$9,0))))</f>
        <v/>
      </c>
      <c r="K51" s="124" t="n"/>
      <c r="L51" s="124" t="n"/>
      <c r="M51" s="124" t="n"/>
      <c r="N51" s="124" t="n"/>
      <c r="O51" s="198" t="n"/>
      <c r="P51" s="196" t="n"/>
      <c r="Q51" s="199">
        <f>IF(I51="No aplica",0,H51)</f>
        <v/>
      </c>
      <c r="R51" s="199">
        <f>IF(ISNUMBER(J51),J51*H51,0)</f>
        <v/>
      </c>
    </row>
    <row r="52" ht="49" customHeight="1">
      <c r="A52" s="188" t="inlineStr">
        <is>
          <t>S-41</t>
        </is>
      </c>
      <c r="B52" s="189" t="inlineStr">
        <is>
          <t>06. Oficial de Cumplimiento: estructura, requisitos e inhabilidades</t>
        </is>
      </c>
      <c r="C52" s="190" t="inlineStr">
        <is>
          <t>9.9.2 a</t>
        </is>
      </c>
      <c r="D52" s="191" t="inlineStr">
        <is>
          <t>182</t>
        </is>
      </c>
      <c r="E52" s="192" t="inlineStr">
        <is>
          <t>OC principal y suplente con título profesional y actualización de conocimientos en LA/FT/FP y C/ST como mínimo cada tres (3) años.</t>
        </is>
      </c>
      <c r="F52" s="193" t="inlineStr">
        <is>
          <t>Diploma profesional y certificados de actualización con fecha no mayor a 3 años.</t>
        </is>
      </c>
      <c r="G52" s="194" t="inlineStr">
        <is>
          <t>OC / Junta Directiva</t>
        </is>
      </c>
      <c r="H52" s="195" t="n">
        <v>3</v>
      </c>
      <c r="I52" s="196" t="n"/>
      <c r="J52" s="197">
        <f>IF(I52="","",IF(I52="No aplica","N/A",INDEX(Escala!$C$5:$C$9,MATCH(I52,Escala!$B$5:$B$9,0))))</f>
        <v/>
      </c>
      <c r="K52" s="124" t="n"/>
      <c r="L52" s="124" t="n"/>
      <c r="M52" s="124" t="n"/>
      <c r="N52" s="124" t="n"/>
      <c r="O52" s="198" t="n"/>
      <c r="P52" s="196" t="n"/>
      <c r="Q52" s="199">
        <f>IF(I52="No aplica",0,H52)</f>
        <v/>
      </c>
      <c r="R52" s="199">
        <f>IF(ISNUMBER(J52),J52*H52,0)</f>
        <v/>
      </c>
    </row>
    <row r="53" ht="36" customHeight="1">
      <c r="A53" s="188" t="inlineStr">
        <is>
          <t>S-42</t>
        </is>
      </c>
      <c r="B53" s="189" t="inlineStr">
        <is>
          <t>06. Oficial de Cumplimiento: estructura, requisitos e inhabilidades</t>
        </is>
      </c>
      <c r="C53" s="190" t="inlineStr">
        <is>
          <t>9.9.2 b</t>
        </is>
      </c>
      <c r="D53" s="191" t="inlineStr">
        <is>
          <t>182</t>
        </is>
      </c>
      <c r="E53" s="192" t="inlineStr">
        <is>
          <t>Experiencia profesional mínima de un (1) año en cargos de cumplimiento normativo en gestión de riesgos LA/FT/FP y C/ST.</t>
        </is>
      </c>
      <c r="F53" s="193" t="inlineStr">
        <is>
          <t>Certificaciones laborales que acrediten el año de experiencia.</t>
        </is>
      </c>
      <c r="G53" s="194" t="inlineStr">
        <is>
          <t>OC / Junta Directiva</t>
        </is>
      </c>
      <c r="H53" s="195" t="n">
        <v>3</v>
      </c>
      <c r="I53" s="196" t="n"/>
      <c r="J53" s="197">
        <f>IF(I53="","",IF(I53="No aplica","N/A",INDEX(Escala!$C$5:$C$9,MATCH(I53,Escala!$B$5:$B$9,0))))</f>
        <v/>
      </c>
      <c r="K53" s="124" t="n"/>
      <c r="L53" s="124" t="n"/>
      <c r="M53" s="124" t="n"/>
      <c r="N53" s="124" t="n"/>
      <c r="O53" s="198" t="n"/>
      <c r="P53" s="196" t="n"/>
      <c r="Q53" s="199">
        <f>IF(I53="No aplica",0,H53)</f>
        <v/>
      </c>
      <c r="R53" s="199">
        <f>IF(ISNUMBER(J53),J53*H53,0)</f>
        <v/>
      </c>
    </row>
    <row r="54" ht="49" customHeight="1">
      <c r="A54" s="188" t="inlineStr">
        <is>
          <t>S-43</t>
        </is>
      </c>
      <c r="B54" s="189" t="inlineStr">
        <is>
          <t>06. Oficial de Cumplimiento: estructura, requisitos e inhabilidades</t>
        </is>
      </c>
      <c r="C54" s="190" t="inlineStr">
        <is>
          <t>9.9.2 c</t>
        </is>
      </c>
      <c r="D54" s="191" t="inlineStr">
        <is>
          <t>182</t>
        </is>
      </c>
      <c r="E54" s="192" t="inlineStr">
        <is>
          <t>Acreditar conocimientos mediante especialización o maestría (homologada si es del exterior) o diplomado de mínimo 90 horas directamente relacionado con LA/FT/FP y C/ST.</t>
        </is>
      </c>
      <c r="F54" s="193" t="inlineStr">
        <is>
          <t>Certificado que indique contenido, intensidad horaria y finalización del programa.</t>
        </is>
      </c>
      <c r="G54" s="194" t="inlineStr">
        <is>
          <t>OC / Junta Directiva</t>
        </is>
      </c>
      <c r="H54" s="195" t="n">
        <v>3</v>
      </c>
      <c r="I54" s="196" t="n"/>
      <c r="J54" s="197">
        <f>IF(I54="","",IF(I54="No aplica","N/A",INDEX(Escala!$C$5:$C$9,MATCH(I54,Escala!$B$5:$B$9,0))))</f>
        <v/>
      </c>
      <c r="K54" s="124" t="n"/>
      <c r="L54" s="124" t="n"/>
      <c r="M54" s="124" t="n"/>
      <c r="N54" s="124" t="n"/>
      <c r="O54" s="198" t="n"/>
      <c r="P54" s="196" t="n"/>
      <c r="Q54" s="199">
        <f>IF(I54="No aplica",0,H54)</f>
        <v/>
      </c>
      <c r="R54" s="199">
        <f>IF(ISNUMBER(J54),J54*H54,0)</f>
        <v/>
      </c>
    </row>
    <row r="55" ht="36" customHeight="1">
      <c r="A55" s="188" t="inlineStr">
        <is>
          <t>S-44A</t>
        </is>
      </c>
      <c r="B55" s="189" t="inlineStr">
        <is>
          <t>06. Oficial de Cumplimiento: estructura, requisitos e inhabilidades</t>
        </is>
      </c>
      <c r="C55" s="190" t="inlineStr">
        <is>
          <t>9.9.2 f</t>
        </is>
      </c>
      <c r="D55" s="191" t="inlineStr">
        <is>
          <t>182</t>
        </is>
      </c>
      <c r="E55" s="192" t="inlineStr">
        <is>
          <t>El Oficial de Cumplimiento principal y el suplente están domiciliados en Colombia.</t>
        </is>
      </c>
      <c r="F55" s="193" t="inlineStr">
        <is>
          <t>Soporte de domicilio de ambos.</t>
        </is>
      </c>
      <c r="G55" s="194" t="inlineStr">
        <is>
          <t>Junta Directiva</t>
        </is>
      </c>
      <c r="H55" s="195" t="n">
        <v>2</v>
      </c>
      <c r="I55" s="196" t="n"/>
      <c r="J55" s="197">
        <f>IF(I55="","",IF(I55="No aplica","N/A",INDEX(Escala!$C$5:$C$9,MATCH(I55,Escala!$B$5:$B$9,0))))</f>
        <v/>
      </c>
      <c r="K55" s="124" t="n"/>
      <c r="L55" s="124" t="n"/>
      <c r="M55" s="124" t="n"/>
      <c r="N55" s="124" t="n"/>
      <c r="O55" s="198" t="n"/>
      <c r="P55" s="196" t="n"/>
      <c r="Q55" s="199">
        <f>IF(I55="No aplica",0,H55)</f>
        <v/>
      </c>
      <c r="R55" s="199">
        <f>IF(ISNUMBER(J55),J55*H55,0)</f>
        <v/>
      </c>
    </row>
    <row r="56" ht="49" customHeight="1">
      <c r="A56" s="188" t="inlineStr">
        <is>
          <t>S-44B</t>
        </is>
      </c>
      <c r="B56" s="189" t="inlineStr">
        <is>
          <t>06. Oficial de Cumplimiento: estructura, requisitos e inhabilidades</t>
        </is>
      </c>
      <c r="C56" s="190" t="inlineStr">
        <is>
          <t>9.9.2 d</t>
        </is>
      </c>
      <c r="D56" s="191" t="inlineStr">
        <is>
          <t>182</t>
        </is>
      </c>
      <c r="E56" s="192" t="inlineStr">
        <is>
          <t>Si el Oficial de Cumplimiento está vinculado a una persona jurídica externa y no a la Empresa, esa firma acredita experiencia en gestión de riesgos LA/FT/FP y C/ST.</t>
        </is>
      </c>
      <c r="F56" s="193" t="inlineStr">
        <is>
          <t>Certificado de experiencia de la firma (marcar 'No aplica' si el OC es empleado).</t>
        </is>
      </c>
      <c r="G56" s="194" t="inlineStr">
        <is>
          <t>Junta Directiva</t>
        </is>
      </c>
      <c r="H56" s="195" t="n">
        <v>1</v>
      </c>
      <c r="I56" s="196" t="n"/>
      <c r="J56" s="197">
        <f>IF(I56="","",IF(I56="No aplica","N/A",INDEX(Escala!$C$5:$C$9,MATCH(I56,Escala!$B$5:$B$9,0))))</f>
        <v/>
      </c>
      <c r="K56" s="124" t="n"/>
      <c r="L56" s="124" t="n"/>
      <c r="M56" s="124" t="n"/>
      <c r="N56" s="124" t="n"/>
      <c r="O56" s="198" t="n"/>
      <c r="P56" s="196" t="n"/>
      <c r="Q56" s="199">
        <f>IF(I56="No aplica",0,H56)</f>
        <v/>
      </c>
      <c r="R56" s="199">
        <f>IF(ISNUMBER(J56),J56*H56,0)</f>
        <v/>
      </c>
    </row>
    <row r="57" ht="49" customHeight="1">
      <c r="A57" s="188" t="inlineStr">
        <is>
          <t>S-45</t>
        </is>
      </c>
      <c r="B57" s="189" t="inlineStr">
        <is>
          <t>06. Oficial de Cumplimiento: estructura, requisitos e inhabilidades</t>
        </is>
      </c>
      <c r="C57" s="190" t="inlineStr">
        <is>
          <t>9.9.3 a-b</t>
        </is>
      </c>
      <c r="D57" s="191" t="inlineStr">
        <is>
          <t>182</t>
        </is>
      </c>
      <c r="E57" s="192" t="inlineStr">
        <is>
          <t>No actuar como OC en más de diez (10) Sujetos Obligados (salvo grupo empresarial o control declarado), ni en competidores; certificar circunstancias que afecten su independencia.</t>
        </is>
      </c>
      <c r="F57" s="193" t="inlineStr">
        <is>
          <t>Declaración del OC sobre empresas donde actúa y verificación del órgano que lo designa.</t>
        </is>
      </c>
      <c r="G57" s="194" t="inlineStr">
        <is>
          <t>OC / Junta Directiva</t>
        </is>
      </c>
      <c r="H57" s="195" t="n">
        <v>2</v>
      </c>
      <c r="I57" s="196" t="n"/>
      <c r="J57" s="197">
        <f>IF(I57="","",IF(I57="No aplica","N/A",INDEX(Escala!$C$5:$C$9,MATCH(I57,Escala!$B$5:$B$9,0))))</f>
        <v/>
      </c>
      <c r="K57" s="124" t="n"/>
      <c r="L57" s="124" t="n"/>
      <c r="M57" s="124" t="n"/>
      <c r="N57" s="124" t="n"/>
      <c r="O57" s="198" t="n"/>
      <c r="P57" s="196" t="n"/>
      <c r="Q57" s="199">
        <f>IF(I57="No aplica",0,H57)</f>
        <v/>
      </c>
      <c r="R57" s="199">
        <f>IF(ISNUMBER(J57),J57*H57,0)</f>
        <v/>
      </c>
    </row>
    <row r="58" ht="49" customHeight="1">
      <c r="A58" s="188" t="inlineStr">
        <is>
          <t>S-46</t>
        </is>
      </c>
      <c r="B58" s="189" t="inlineStr">
        <is>
          <t>06. Oficial de Cumplimiento: estructura, requisitos e inhabilidades</t>
        </is>
      </c>
      <c r="C58" s="190" t="inlineStr">
        <is>
          <t>9.9.3 c-e; 9.13</t>
        </is>
      </c>
      <c r="D58" s="191" t="inlineStr">
        <is>
          <t>182-183; 187</t>
        </is>
      </c>
      <c r="E58" s="192" t="inlineStr">
        <is>
          <t>El OC no puede ser administrador (RL, miembro de Junta o quien haga sus veces), asociado, revisor fiscal ni auditor interno o externo (ni vinculado a esas firmas).</t>
        </is>
      </c>
      <c r="F58" s="193" t="inlineStr">
        <is>
          <t>Certificado de ausencia de inhabilidades e incompatibilidades firmado por el RL; cruce con libro de accionistas.</t>
        </is>
      </c>
      <c r="G58" s="194" t="inlineStr">
        <is>
          <t>RL / Junta Directiva</t>
        </is>
      </c>
      <c r="H58" s="195" t="n">
        <v>3</v>
      </c>
      <c r="I58" s="196" t="n"/>
      <c r="J58" s="197">
        <f>IF(I58="","",IF(I58="No aplica","N/A",INDEX(Escala!$C$5:$C$9,MATCH(I58,Escala!$B$5:$B$9,0))))</f>
        <v/>
      </c>
      <c r="K58" s="124" t="n"/>
      <c r="L58" s="124" t="n"/>
      <c r="M58" s="124" t="n"/>
      <c r="N58" s="124" t="n"/>
      <c r="O58" s="198" t="n"/>
      <c r="P58" s="196" t="n"/>
      <c r="Q58" s="199">
        <f>IF(I58="No aplica",0,H58)</f>
        <v/>
      </c>
      <c r="R58" s="199">
        <f>IF(ISNUMBER(J58),J58*H58,0)</f>
        <v/>
      </c>
    </row>
    <row r="59" ht="49" customHeight="1">
      <c r="A59" s="188" t="inlineStr">
        <is>
          <t>S-47</t>
        </is>
      </c>
      <c r="B59" s="189" t="inlineStr">
        <is>
          <t>06. Oficial de Cumplimiento: estructura, requisitos e inhabilidades</t>
        </is>
      </c>
      <c r="C59" s="190" t="inlineStr">
        <is>
          <t>9.9.4</t>
        </is>
      </c>
      <c r="D59" s="191" t="inlineStr">
        <is>
          <t>183</t>
        </is>
      </c>
      <c r="E59" s="192" t="inlineStr">
        <is>
          <t>Informar a la Supersociedades la designación del OC principal y suplente, mediante el informe no financiero, dentro de los 15 días hábiles siguientes a la reunión de designación.</t>
        </is>
      </c>
      <c r="F59" s="193" t="inlineStr">
        <is>
          <t>Constancia de radicación con fecha dentro del plazo.</t>
        </is>
      </c>
      <c r="G59" s="194" t="inlineStr">
        <is>
          <t>RL / OC</t>
        </is>
      </c>
      <c r="H59" s="195" t="n">
        <v>3</v>
      </c>
      <c r="I59" s="196" t="n"/>
      <c r="J59" s="197">
        <f>IF(I59="","",IF(I59="No aplica","N/A",INDEX(Escala!$C$5:$C$9,MATCH(I59,Escala!$B$5:$B$9,0))))</f>
        <v/>
      </c>
      <c r="K59" s="124" t="n"/>
      <c r="L59" s="124" t="n"/>
      <c r="M59" s="124" t="n"/>
      <c r="N59" s="124" t="n"/>
      <c r="O59" s="198" t="n"/>
      <c r="P59" s="196" t="n"/>
      <c r="Q59" s="199">
        <f>IF(I59="No aplica",0,H59)</f>
        <v/>
      </c>
      <c r="R59" s="199">
        <f>IF(ISNUMBER(J59),J59*H59,0)</f>
        <v/>
      </c>
    </row>
    <row r="60" ht="62" customHeight="1">
      <c r="A60" s="188" t="inlineStr">
        <is>
          <t>S-48</t>
        </is>
      </c>
      <c r="B60" s="189" t="inlineStr">
        <is>
          <t>06. Oficial de Cumplimiento: estructura, requisitos e inhabilidades</t>
        </is>
      </c>
      <c r="C60" s="190" t="inlineStr">
        <is>
          <t>9.9.4</t>
        </is>
      </c>
      <c r="D60" s="191" t="inlineStr">
        <is>
          <t>183-184</t>
        </is>
      </c>
      <c r="E60" s="192" t="inlineStr">
        <is>
          <t>Anexar al informe: hoja de vida, certificación de requisitos, registro SIREL, extracto del acta, soporte de conocimientos y certificado de ausencia de inhabilidades firmado por el RL.</t>
        </is>
      </c>
      <c r="F60" s="193" t="inlineStr">
        <is>
          <t>Los 6 anexos archivados junto con la radicación.</t>
        </is>
      </c>
      <c r="G60" s="194" t="inlineStr">
        <is>
          <t>RL / OC</t>
        </is>
      </c>
      <c r="H60" s="195" t="n">
        <v>2</v>
      </c>
      <c r="I60" s="196" t="n"/>
      <c r="J60" s="197">
        <f>IF(I60="","",IF(I60="No aplica","N/A",INDEX(Escala!$C$5:$C$9,MATCH(I60,Escala!$B$5:$B$9,0))))</f>
        <v/>
      </c>
      <c r="K60" s="124" t="n"/>
      <c r="L60" s="124" t="n"/>
      <c r="M60" s="124" t="n"/>
      <c r="N60" s="124" t="n"/>
      <c r="O60" s="198" t="n"/>
      <c r="P60" s="196" t="n"/>
      <c r="Q60" s="199">
        <f>IF(I60="No aplica",0,H60)</f>
        <v/>
      </c>
      <c r="R60" s="199">
        <f>IF(ISNUMBER(J60),J60*H60,0)</f>
        <v/>
      </c>
    </row>
    <row r="61" ht="62" customHeight="1">
      <c r="A61" s="188" t="inlineStr">
        <is>
          <t>S-49</t>
        </is>
      </c>
      <c r="B61" s="189" t="inlineStr">
        <is>
          <t>06. Oficial de Cumplimiento: estructura, requisitos e inhabilidades</t>
        </is>
      </c>
      <c r="C61" s="190" t="inlineStr">
        <is>
          <t>9.9.4</t>
        </is>
      </c>
      <c r="D61" s="191" t="inlineStr">
        <is>
          <t>183</t>
        </is>
      </c>
      <c r="E61" s="192" t="inlineStr">
        <is>
          <t>Ante retiro del OC: el saliente remite el informe no financiero (o el RL) y pide cancelar su usuario SIREL; se designa reemplazo en máx. 30 días calendario; el RL asume temporalmente si faltan ambos.</t>
        </is>
      </c>
      <c r="F61" s="193" t="inlineStr">
        <is>
          <t>Procedimiento de relevo documentado; evidencias si ha ocurrido algún relevo.</t>
        </is>
      </c>
      <c r="G61" s="194" t="inlineStr">
        <is>
          <t>RL / OC</t>
        </is>
      </c>
      <c r="H61" s="195" t="n">
        <v>2</v>
      </c>
      <c r="I61" s="196" t="n"/>
      <c r="J61" s="197">
        <f>IF(I61="","",IF(I61="No aplica","N/A",INDEX(Escala!$C$5:$C$9,MATCH(I61,Escala!$B$5:$B$9,0))))</f>
        <v/>
      </c>
      <c r="K61" s="124" t="n"/>
      <c r="L61" s="124" t="n"/>
      <c r="M61" s="124" t="n"/>
      <c r="N61" s="124" t="n"/>
      <c r="O61" s="198" t="n"/>
      <c r="P61" s="196" t="n"/>
      <c r="Q61" s="199">
        <f>IF(I61="No aplica",0,H61)</f>
        <v/>
      </c>
      <c r="R61" s="199">
        <f>IF(ISNUMBER(J61),J61*H61,0)</f>
        <v/>
      </c>
    </row>
    <row r="62" ht="36" customHeight="1">
      <c r="A62" s="188" t="inlineStr">
        <is>
          <t>S-50</t>
        </is>
      </c>
      <c r="B62" s="189" t="inlineStr">
        <is>
          <t>06. Oficial de Cumplimiento: estructura, requisitos e inhabilidades</t>
        </is>
      </c>
      <c r="C62" s="190" t="inlineStr">
        <is>
          <t>9.9.4</t>
        </is>
      </c>
      <c r="D62" s="191" t="inlineStr">
        <is>
          <t>183</t>
        </is>
      </c>
      <c r="E62" s="192" t="inlineStr">
        <is>
          <t>En sucursales de sociedad extranjera, el nombramiento del OC lo efectúa el órgano competente de la casa matriz.</t>
        </is>
      </c>
      <c r="F62" s="193" t="inlineStr">
        <is>
          <t>Acta de la casa matriz (marcar 'No aplica' si no es sucursal).</t>
        </is>
      </c>
      <c r="G62" s="194" t="inlineStr">
        <is>
          <t>Casa matriz</t>
        </is>
      </c>
      <c r="H62" s="195" t="n">
        <v>1</v>
      </c>
      <c r="I62" s="196" t="n"/>
      <c r="J62" s="197">
        <f>IF(I62="","",IF(I62="No aplica","N/A",INDEX(Escala!$C$5:$C$9,MATCH(I62,Escala!$B$5:$B$9,0))))</f>
        <v/>
      </c>
      <c r="K62" s="124" t="n"/>
      <c r="L62" s="124" t="n"/>
      <c r="M62" s="124" t="n"/>
      <c r="N62" s="124" t="n"/>
      <c r="O62" s="198" t="n"/>
      <c r="P62" s="196" t="n"/>
      <c r="Q62" s="199">
        <f>IF(I62="No aplica",0,H62)</f>
        <v/>
      </c>
      <c r="R62" s="199">
        <f>IF(ISNUMBER(J62),J62*H62,0)</f>
        <v/>
      </c>
    </row>
    <row r="63" ht="24" customHeight="1">
      <c r="A63" s="184" t="inlineStr">
        <is>
          <t>07  ·  Funciones del Oficial de Cumplimiento     (9 requisitos)</t>
        </is>
      </c>
      <c r="B63" s="185" t="n"/>
      <c r="C63" s="185" t="n"/>
      <c r="D63" s="185" t="n"/>
      <c r="E63" s="185" t="n"/>
      <c r="F63" s="185" t="n"/>
      <c r="G63" s="185" t="n"/>
      <c r="H63" s="185" t="n"/>
      <c r="I63" s="186" t="n"/>
      <c r="J63" s="187">
        <f>IFERROR(SUMIFS($R$7:$R$400,$B$7:$B$400,"07. Funciones del Oficial de Cumplimiento")/SUMIFS($Q$7:$Q$400,$B$7:$B$400,"07. Funciones del Oficial de Cumplimiento"),"N/A")</f>
        <v/>
      </c>
      <c r="K63" s="186" t="n"/>
      <c r="L63" s="186" t="n"/>
      <c r="M63" s="186" t="n"/>
      <c r="N63" s="186" t="n"/>
      <c r="O63" s="186" t="n"/>
      <c r="P63" s="186" t="n"/>
      <c r="Q63" s="108" t="n"/>
      <c r="R63" s="108" t="n"/>
    </row>
    <row r="64" ht="62" customHeight="1">
      <c r="A64" s="188" t="inlineStr">
        <is>
          <t>S-51</t>
        </is>
      </c>
      <c r="B64" s="189" t="inlineStr">
        <is>
          <t>07. Funciones del Oficial de Cumplimiento</t>
        </is>
      </c>
      <c r="C64" s="190" t="inlineStr">
        <is>
          <t>9.9.5 a-b</t>
        </is>
      </c>
      <c r="D64" s="191" t="inlineStr">
        <is>
          <t>184</t>
        </is>
      </c>
      <c r="E64" s="192" t="inlineStr">
        <is>
          <t>Velar por el cumplimiento efectivo del Sistema y presentar informes a la Junta al menos una vez al año: evaluación individual de actividades, eficiencia y efectividad con evidencias, mejoras y resultados de la gestión.</t>
        </is>
      </c>
      <c r="F64" s="193" t="inlineStr">
        <is>
          <t>Informe anual del OC con los contenidos mínimos y acta de la Junta que lo recibe.</t>
        </is>
      </c>
      <c r="G64" s="194" t="inlineStr">
        <is>
          <t>Oficial de Cumplimiento</t>
        </is>
      </c>
      <c r="H64" s="195" t="n">
        <v>3</v>
      </c>
      <c r="I64" s="196" t="n"/>
      <c r="J64" s="197">
        <f>IF(I64="","",IF(I64="No aplica","N/A",INDEX(Escala!$C$5:$C$9,MATCH(I64,Escala!$B$5:$B$9,0))))</f>
        <v/>
      </c>
      <c r="K64" s="124" t="n"/>
      <c r="L64" s="124" t="n"/>
      <c r="M64" s="124" t="n"/>
      <c r="N64" s="124" t="n"/>
      <c r="O64" s="198" t="n"/>
      <c r="P64" s="196" t="n"/>
      <c r="Q64" s="199">
        <f>IF(I64="No aplica",0,H64)</f>
        <v/>
      </c>
      <c r="R64" s="199">
        <f>IF(ISNUMBER(J64),J64*H64,0)</f>
        <v/>
      </c>
    </row>
    <row r="65" ht="49" customHeight="1">
      <c r="A65" s="188" t="inlineStr">
        <is>
          <t>S-52</t>
        </is>
      </c>
      <c r="B65" s="189" t="inlineStr">
        <is>
          <t>07. Funciones del Oficial de Cumplimiento</t>
        </is>
      </c>
      <c r="C65" s="190" t="inlineStr">
        <is>
          <t>9.9.5 c</t>
        </is>
      </c>
      <c r="D65" s="191" t="inlineStr">
        <is>
          <t>184</t>
        </is>
      </c>
      <c r="E65" s="192" t="inlineStr">
        <is>
          <t>Promover correctivos y actualizaciones al Sistema cuando se requiera y como mínimo cada dos (2) años, con propuestas justificadas que consten en acta.</t>
        </is>
      </c>
      <c r="F65" s="193" t="inlineStr">
        <is>
          <t>Acta de la última actualización con fecha no mayor a 2 años.</t>
        </is>
      </c>
      <c r="G65" s="194" t="inlineStr">
        <is>
          <t>Oficial de Cumplimiento</t>
        </is>
      </c>
      <c r="H65" s="195" t="n">
        <v>3</v>
      </c>
      <c r="I65" s="196" t="n"/>
      <c r="J65" s="197">
        <f>IF(I65="","",IF(I65="No aplica","N/A",INDEX(Escala!$C$5:$C$9,MATCH(I65,Escala!$B$5:$B$9,0))))</f>
        <v/>
      </c>
      <c r="K65" s="124" t="n"/>
      <c r="L65" s="124" t="n"/>
      <c r="M65" s="124" t="n"/>
      <c r="N65" s="124" t="n"/>
      <c r="O65" s="198" t="n"/>
      <c r="P65" s="196" t="n"/>
      <c r="Q65" s="199">
        <f>IF(I65="No aplica",0,H65)</f>
        <v/>
      </c>
      <c r="R65" s="199">
        <f>IF(ISNUMBER(J65),J65*H65,0)</f>
        <v/>
      </c>
    </row>
    <row r="66" ht="36" customHeight="1">
      <c r="A66" s="188" t="inlineStr">
        <is>
          <t>S-53</t>
        </is>
      </c>
      <c r="B66" s="189" t="inlineStr">
        <is>
          <t>07. Funciones del Oficial de Cumplimiento</t>
        </is>
      </c>
      <c r="C66" s="190" t="inlineStr">
        <is>
          <t>9.9.5 d</t>
        </is>
      </c>
      <c r="D66" s="191" t="inlineStr">
        <is>
          <t>184</t>
        </is>
      </c>
      <c r="E66" s="192" t="inlineStr">
        <is>
          <t>Coordinar y ejecutar los programas internos de capacitación y divulgación.</t>
        </is>
      </c>
      <c r="F66" s="193" t="inlineStr">
        <is>
          <t>Cronograma y evidencias de ejecución.</t>
        </is>
      </c>
      <c r="G66" s="194" t="inlineStr">
        <is>
          <t>Oficial de Cumplimiento</t>
        </is>
      </c>
      <c r="H66" s="195" t="n">
        <v>2</v>
      </c>
      <c r="I66" s="196" t="n"/>
      <c r="J66" s="197">
        <f>IF(I66="","",IF(I66="No aplica","N/A",INDEX(Escala!$C$5:$C$9,MATCH(I66,Escala!$B$5:$B$9,0))))</f>
        <v/>
      </c>
      <c r="K66" s="124" t="n"/>
      <c r="L66" s="124" t="n"/>
      <c r="M66" s="124" t="n"/>
      <c r="N66" s="124" t="n"/>
      <c r="O66" s="198" t="n"/>
      <c r="P66" s="196" t="n"/>
      <c r="Q66" s="199">
        <f>IF(I66="No aplica",0,H66)</f>
        <v/>
      </c>
      <c r="R66" s="199">
        <f>IF(ISNUMBER(J66),J66*H66,0)</f>
        <v/>
      </c>
    </row>
    <row r="67" ht="49" customHeight="1">
      <c r="A67" s="188" t="inlineStr">
        <is>
          <t>S-54</t>
        </is>
      </c>
      <c r="B67" s="189" t="inlineStr">
        <is>
          <t>07. Funciones del Oficial de Cumplimiento</t>
        </is>
      </c>
      <c r="C67" s="190" t="inlineStr">
        <is>
          <t>9.9.5 e</t>
        </is>
      </c>
      <c r="D67" s="191" t="inlineStr">
        <is>
          <t>184</t>
        </is>
      </c>
      <c r="E67" s="192" t="inlineStr">
        <is>
          <t>Evaluar los informes de auditoría interna/externa y de revisoría fiscal y adoptar medidas razonables frente a las deficiencias (escalando cuando se requiera autorización).</t>
        </is>
      </c>
      <c r="F67" s="193" t="inlineStr">
        <is>
          <t>Matriz de seguimiento de hallazgos con estado de cierre.</t>
        </is>
      </c>
      <c r="G67" s="194" t="inlineStr">
        <is>
          <t>Oficial de Cumplimiento</t>
        </is>
      </c>
      <c r="H67" s="195" t="n">
        <v>2</v>
      </c>
      <c r="I67" s="196" t="n"/>
      <c r="J67" s="197">
        <f>IF(I67="","",IF(I67="No aplica","N/A",INDEX(Escala!$C$5:$C$9,MATCH(I67,Escala!$B$5:$B$9,0))))</f>
        <v/>
      </c>
      <c r="K67" s="124" t="n"/>
      <c r="L67" s="124" t="n"/>
      <c r="M67" s="124" t="n"/>
      <c r="N67" s="124" t="n"/>
      <c r="O67" s="198" t="n"/>
      <c r="P67" s="196" t="n"/>
      <c r="Q67" s="199">
        <f>IF(I67="No aplica",0,H67)</f>
        <v/>
      </c>
      <c r="R67" s="199">
        <f>IF(ISNUMBER(J67),J67*H67,0)</f>
        <v/>
      </c>
    </row>
    <row r="68" ht="49" customHeight="1">
      <c r="A68" s="188" t="inlineStr">
        <is>
          <t>S-55</t>
        </is>
      </c>
      <c r="B68" s="189" t="inlineStr">
        <is>
          <t>07. Funciones del Oficial de Cumplimiento</t>
        </is>
      </c>
      <c r="C68" s="190" t="inlineStr">
        <is>
          <t>9.9.5 g; 9.14.4 e</t>
        </is>
      </c>
      <c r="D68" s="191" t="inlineStr">
        <is>
          <t>184; 190</t>
        </is>
      </c>
      <c r="E68" s="192" t="inlineStr">
        <is>
          <t>Verificar el cumplimiento de la Debida Diligencia y la DDI mediante auditorías periódicas de cumplimiento, según lo disponga el OC.</t>
        </is>
      </c>
      <c r="F68" s="193" t="inlineStr">
        <is>
          <t>Pruebas o muestreos documentados y basados en riesgo sobre expedientes de contrapartes.</t>
        </is>
      </c>
      <c r="G68" s="194" t="inlineStr">
        <is>
          <t>Oficial de Cumplimiento</t>
        </is>
      </c>
      <c r="H68" s="195" t="n">
        <v>3</v>
      </c>
      <c r="I68" s="196" t="n"/>
      <c r="J68" s="197">
        <f>IF(I68="","",IF(I68="No aplica","N/A",INDEX(Escala!$C$5:$C$9,MATCH(I68,Escala!$B$5:$B$9,0))))</f>
        <v/>
      </c>
      <c r="K68" s="124" t="n"/>
      <c r="L68" s="124" t="n"/>
      <c r="M68" s="124" t="n"/>
      <c r="N68" s="124" t="n"/>
      <c r="O68" s="198" t="n"/>
      <c r="P68" s="196" t="n"/>
      <c r="Q68" s="199">
        <f>IF(I68="No aplica",0,H68)</f>
        <v/>
      </c>
      <c r="R68" s="199">
        <f>IF(ISNUMBER(J68),J68*H68,0)</f>
        <v/>
      </c>
    </row>
    <row r="69" ht="36" customHeight="1">
      <c r="A69" s="188" t="inlineStr">
        <is>
          <t>S-56</t>
        </is>
      </c>
      <c r="B69" s="189" t="inlineStr">
        <is>
          <t>07. Funciones del Oficial de Cumplimiento</t>
        </is>
      </c>
      <c r="C69" s="190" t="inlineStr">
        <is>
          <t>9.9.5 h</t>
        </is>
      </c>
      <c r="D69" s="191" t="inlineStr">
        <is>
          <t>184</t>
        </is>
      </c>
      <c r="E69" s="192" t="inlineStr">
        <is>
          <t>Velar por el adecuado archivo de los soportes documentales del Sistema.</t>
        </is>
      </c>
      <c r="F69" s="193" t="inlineStr">
        <is>
          <t>Política de archivo e inventario documental.</t>
        </is>
      </c>
      <c r="G69" s="194" t="inlineStr">
        <is>
          <t>Oficial de Cumplimiento</t>
        </is>
      </c>
      <c r="H69" s="195" t="n">
        <v>2</v>
      </c>
      <c r="I69" s="196" t="n"/>
      <c r="J69" s="197">
        <f>IF(I69="","",IF(I69="No aplica","N/A",INDEX(Escala!$C$5:$C$9,MATCH(I69,Escala!$B$5:$B$9,0))))</f>
        <v/>
      </c>
      <c r="K69" s="124" t="n"/>
      <c r="L69" s="124" t="n"/>
      <c r="M69" s="124" t="n"/>
      <c r="N69" s="124" t="n"/>
      <c r="O69" s="198" t="n"/>
      <c r="P69" s="196" t="n"/>
      <c r="Q69" s="199">
        <f>IF(I69="No aplica",0,H69)</f>
        <v/>
      </c>
      <c r="R69" s="199">
        <f>IF(ISNUMBER(J69),J69*H69,0)</f>
        <v/>
      </c>
    </row>
    <row r="70" ht="49" customHeight="1">
      <c r="A70" s="188" t="inlineStr">
        <is>
          <t>S-57</t>
        </is>
      </c>
      <c r="B70" s="189" t="inlineStr">
        <is>
          <t>07. Funciones del Oficial de Cumplimiento</t>
        </is>
      </c>
      <c r="C70" s="190" t="inlineStr">
        <is>
          <t>9.9.5 i-j</t>
        </is>
      </c>
      <c r="D70" s="191" t="inlineStr">
        <is>
          <t>184</t>
        </is>
      </c>
      <c r="E70" s="192" t="inlineStr">
        <is>
          <t>Diseñar las metodologías de clasificación, identificación, medición y control del riesgo, ajustadas al Sujeto Obligado, y realizar la evaluación del riesgo.</t>
        </is>
      </c>
      <c r="F70" s="193" t="inlineStr">
        <is>
          <t>Documento metodológico y evaluación de riesgo vigente.</t>
        </is>
      </c>
      <c r="G70" s="194" t="inlineStr">
        <is>
          <t>Oficial de Cumplimiento</t>
        </is>
      </c>
      <c r="H70" s="195" t="n">
        <v>3</v>
      </c>
      <c r="I70" s="196" t="n"/>
      <c r="J70" s="197">
        <f>IF(I70="","",IF(I70="No aplica","N/A",INDEX(Escala!$C$5:$C$9,MATCH(I70,Escala!$B$5:$B$9,0))))</f>
        <v/>
      </c>
      <c r="K70" s="124" t="n"/>
      <c r="L70" s="124" t="n"/>
      <c r="M70" s="124" t="n"/>
      <c r="N70" s="124" t="n"/>
      <c r="O70" s="198" t="n"/>
      <c r="P70" s="196" t="n"/>
      <c r="Q70" s="199">
        <f>IF(I70="No aplica",0,H70)</f>
        <v/>
      </c>
      <c r="R70" s="199">
        <f>IF(ISNUMBER(J70),J70*H70,0)</f>
        <v/>
      </c>
    </row>
    <row r="71" ht="49" customHeight="1">
      <c r="A71" s="188" t="inlineStr">
        <is>
          <t>S-59</t>
        </is>
      </c>
      <c r="B71" s="189" t="inlineStr">
        <is>
          <t>07. Funciones del Oficial de Cumplimiento</t>
        </is>
      </c>
      <c r="C71" s="190" t="inlineStr">
        <is>
          <t>9.9.5 n</t>
        </is>
      </c>
      <c r="D71" s="191" t="inlineStr">
        <is>
          <t>185</t>
        </is>
      </c>
      <c r="E71" s="192" t="inlineStr">
        <is>
          <t>Establecer procedimientos internos de investigación de incumplimientos del Sistema y un marco sancionador para los infractores.</t>
        </is>
      </c>
      <c r="F71" s="193" t="inlineStr">
        <is>
          <t>Procedimiento de investigación interna aprobado; casos documentados.</t>
        </is>
      </c>
      <c r="G71" s="194" t="inlineStr">
        <is>
          <t>Oficial de Cumplimiento</t>
        </is>
      </c>
      <c r="H71" s="195" t="n">
        <v>3</v>
      </c>
      <c r="I71" s="196" t="n"/>
      <c r="J71" s="197">
        <f>IF(I71="","",IF(I71="No aplica","N/A",INDEX(Escala!$C$5:$C$9,MATCH(I71,Escala!$B$5:$B$9,0))))</f>
        <v/>
      </c>
      <c r="K71" s="124" t="n"/>
      <c r="L71" s="124" t="n"/>
      <c r="M71" s="124" t="n"/>
      <c r="N71" s="124" t="n"/>
      <c r="O71" s="198" t="n"/>
      <c r="P71" s="196" t="n"/>
      <c r="Q71" s="199">
        <f>IF(I71="No aplica",0,H71)</f>
        <v/>
      </c>
      <c r="R71" s="199">
        <f>IF(ISNUMBER(J71),J71*H71,0)</f>
        <v/>
      </c>
    </row>
    <row r="72" ht="49" customHeight="1">
      <c r="A72" s="188" t="inlineStr">
        <is>
          <t>S-60</t>
        </is>
      </c>
      <c r="B72" s="189" t="inlineStr">
        <is>
          <t>07. Funciones del Oficial de Cumplimiento</t>
        </is>
      </c>
      <c r="C72" s="190" t="inlineStr">
        <is>
          <t>9.9.5 f, o</t>
        </is>
      </c>
      <c r="D72" s="191" t="inlineStr">
        <is>
          <t>184-185</t>
        </is>
      </c>
      <c r="E72" s="192" t="inlineStr">
        <is>
          <t>Certificar ante la Supersociedades el cumplimiento cuando se requiera y atender, con el RL y el revisor fiscal, sus diligencias virtuales o in situ.</t>
        </is>
      </c>
      <c r="F72" s="193" t="inlineStr">
        <is>
          <t>Registro de requerimientos y respuestas.</t>
        </is>
      </c>
      <c r="G72" s="194" t="inlineStr">
        <is>
          <t>Oficial de Cumplimiento</t>
        </is>
      </c>
      <c r="H72" s="195" t="n">
        <v>1</v>
      </c>
      <c r="I72" s="196" t="n"/>
      <c r="J72" s="197">
        <f>IF(I72="","",IF(I72="No aplica","N/A",INDEX(Escala!$C$5:$C$9,MATCH(I72,Escala!$B$5:$B$9,0))))</f>
        <v/>
      </c>
      <c r="K72" s="124" t="n"/>
      <c r="L72" s="124" t="n"/>
      <c r="M72" s="124" t="n"/>
      <c r="N72" s="124" t="n"/>
      <c r="O72" s="198" t="n"/>
      <c r="P72" s="196" t="n"/>
      <c r="Q72" s="199">
        <f>IF(I72="No aplica",0,H72)</f>
        <v/>
      </c>
      <c r="R72" s="199">
        <f>IF(ISNUMBER(J72),J72*H72,0)</f>
        <v/>
      </c>
    </row>
    <row r="73" ht="24" customHeight="1">
      <c r="A73" s="184" t="inlineStr">
        <is>
          <t>08  ·  Revisoría fiscal y auditorías     (5 requisitos)</t>
        </is>
      </c>
      <c r="B73" s="185" t="n"/>
      <c r="C73" s="185" t="n"/>
      <c r="D73" s="185" t="n"/>
      <c r="E73" s="185" t="n"/>
      <c r="F73" s="185" t="n"/>
      <c r="G73" s="185" t="n"/>
      <c r="H73" s="185" t="n"/>
      <c r="I73" s="186" t="n"/>
      <c r="J73" s="187">
        <f>IFERROR(SUMIFS($R$7:$R$400,$B$7:$B$400,"08. Revisoría fiscal y auditorías")/SUMIFS($Q$7:$Q$400,$B$7:$B$400,"08. Revisoría fiscal y auditorías"),"N/A")</f>
        <v/>
      </c>
      <c r="K73" s="186" t="n"/>
      <c r="L73" s="186" t="n"/>
      <c r="M73" s="186" t="n"/>
      <c r="N73" s="186" t="n"/>
      <c r="O73" s="186" t="n"/>
      <c r="P73" s="186" t="n"/>
      <c r="Q73" s="108" t="n"/>
      <c r="R73" s="108" t="n"/>
    </row>
    <row r="74" ht="49" customHeight="1">
      <c r="A74" s="188" t="inlineStr">
        <is>
          <t>S-61</t>
        </is>
      </c>
      <c r="B74" s="189" t="inlineStr">
        <is>
          <t>08. Revisoría fiscal y auditorías</t>
        </is>
      </c>
      <c r="C74" s="190" t="inlineStr">
        <is>
          <t>9.11</t>
        </is>
      </c>
      <c r="D74" s="191" t="inlineStr">
        <is>
          <t>185</t>
        </is>
      </c>
      <c r="E74" s="192" t="inlineStr">
        <is>
          <t>El revisor fiscal solicita usuario y contraseña en SIREL al iniciar su designación y reporta a la UIAF las operaciones sospechosas que advierta (art. 207 num. 10 C. Co.).</t>
        </is>
      </c>
      <c r="F74" s="193" t="inlineStr">
        <is>
          <t>Constancia de registro SIREL del revisor fiscal.</t>
        </is>
      </c>
      <c r="G74" s="194" t="inlineStr">
        <is>
          <t>Revisor fiscal</t>
        </is>
      </c>
      <c r="H74" s="195" t="n">
        <v>2</v>
      </c>
      <c r="I74" s="196" t="n"/>
      <c r="J74" s="197">
        <f>IF(I74="","",IF(I74="No aplica","N/A",INDEX(Escala!$C$5:$C$9,MATCH(I74,Escala!$B$5:$B$9,0))))</f>
        <v/>
      </c>
      <c r="K74" s="124" t="n"/>
      <c r="L74" s="124" t="n"/>
      <c r="M74" s="124" t="n"/>
      <c r="N74" s="124" t="n"/>
      <c r="O74" s="198" t="n"/>
      <c r="P74" s="196" t="n"/>
      <c r="Q74" s="199">
        <f>IF(I74="No aplica",0,H74)</f>
        <v/>
      </c>
      <c r="R74" s="199">
        <f>IF(ISNUMBER(J74),J74*H74,0)</f>
        <v/>
      </c>
    </row>
    <row r="75" ht="49" customHeight="1">
      <c r="A75" s="188" t="inlineStr">
        <is>
          <t>S-62</t>
        </is>
      </c>
      <c r="B75" s="189" t="inlineStr">
        <is>
          <t>08. Revisoría fiscal y auditorías</t>
        </is>
      </c>
      <c r="C75" s="190" t="inlineStr">
        <is>
          <t>9.11</t>
        </is>
      </c>
      <c r="D75" s="191" t="inlineStr">
        <is>
          <t>186</t>
        </is>
      </c>
      <c r="E75" s="192" t="inlineStr">
        <is>
          <t>El revisor fiscal valora el Sistema (integrado con transparencia y ética empresarial) y emite opinión sobre su existencia y funcionamiento (par. 4 art. 9 Ley 2195/2022).</t>
        </is>
      </c>
      <c r="F75" s="193" t="inlineStr">
        <is>
          <t>Dictamen o informe del revisor fiscal con opinión expresa sobre el Sistema.</t>
        </is>
      </c>
      <c r="G75" s="194" t="inlineStr">
        <is>
          <t>Revisor fiscal</t>
        </is>
      </c>
      <c r="H75" s="195" t="n">
        <v>3</v>
      </c>
      <c r="I75" s="196" t="n"/>
      <c r="J75" s="197">
        <f>IF(I75="","",IF(I75="No aplica","N/A",INDEX(Escala!$C$5:$C$9,MATCH(I75,Escala!$B$5:$B$9,0))))</f>
        <v/>
      </c>
      <c r="K75" s="124" t="n"/>
      <c r="L75" s="124" t="n"/>
      <c r="M75" s="124" t="n"/>
      <c r="N75" s="124" t="n"/>
      <c r="O75" s="198" t="n"/>
      <c r="P75" s="196" t="n"/>
      <c r="Q75" s="199">
        <f>IF(I75="No aplica",0,H75)</f>
        <v/>
      </c>
      <c r="R75" s="199">
        <f>IF(ISNUMBER(J75),J75*H75,0)</f>
        <v/>
      </c>
    </row>
    <row r="76" ht="49" customHeight="1">
      <c r="A76" s="188" t="inlineStr">
        <is>
          <t>S-63</t>
        </is>
      </c>
      <c r="B76" s="189" t="inlineStr">
        <is>
          <t>08. Revisoría fiscal y auditorías</t>
        </is>
      </c>
      <c r="C76" s="190" t="inlineStr">
        <is>
          <t>9.11</t>
        </is>
      </c>
      <c r="D76" s="191" t="inlineStr">
        <is>
          <t>185-186</t>
        </is>
      </c>
      <c r="E76" s="192" t="inlineStr">
        <is>
          <t>El revisor fiscal denuncia ante las autoridades los presuntos delitos detectados (art. 57 Ley 2195/2022) dentro de los 6 meses siguientes a conocerlos.</t>
        </is>
      </c>
      <c r="F76" s="193" t="inlineStr">
        <is>
          <t>Procedimiento del revisor fiscal; registro de denuncias si aplica.</t>
        </is>
      </c>
      <c r="G76" s="194" t="inlineStr">
        <is>
          <t>Revisor fiscal</t>
        </is>
      </c>
      <c r="H76" s="195" t="n">
        <v>1</v>
      </c>
      <c r="I76" s="196" t="n"/>
      <c r="J76" s="197">
        <f>IF(I76="","",IF(I76="No aplica","N/A",INDEX(Escala!$C$5:$C$9,MATCH(I76,Escala!$B$5:$B$9,0))))</f>
        <v/>
      </c>
      <c r="K76" s="124" t="n"/>
      <c r="L76" s="124" t="n"/>
      <c r="M76" s="124" t="n"/>
      <c r="N76" s="124" t="n"/>
      <c r="O76" s="198" t="n"/>
      <c r="P76" s="196" t="n"/>
      <c r="Q76" s="199">
        <f>IF(I76="No aplica",0,H76)</f>
        <v/>
      </c>
      <c r="R76" s="199">
        <f>IF(ISNUMBER(J76),J76*H76,0)</f>
        <v/>
      </c>
    </row>
    <row r="77" ht="49" customHeight="1">
      <c r="A77" s="188" t="inlineStr">
        <is>
          <t>S-64</t>
        </is>
      </c>
      <c r="B77" s="189" t="inlineStr">
        <is>
          <t>08. Revisoría fiscal y auditorías</t>
        </is>
      </c>
      <c r="C77" s="190" t="inlineStr">
        <is>
          <t>9.12</t>
        </is>
      </c>
      <c r="D77" s="191" t="inlineStr">
        <is>
          <t>186</t>
        </is>
      </c>
      <c r="E77" s="192" t="inlineStr">
        <is>
          <t>Incluir planes anuales de auditoría sobre la efectividad, eficiencia y cumplimiento del Sistema, con independencia, y comunicar sus resultados al RL, al OC y a la Junta.</t>
        </is>
      </c>
      <c r="F77" s="193" t="inlineStr">
        <is>
          <t>Plan anual de auditoría con alcance LA/FT/FP y C/ST e informes comunicados a los tres destinatarios.</t>
        </is>
      </c>
      <c r="G77" s="194" t="inlineStr">
        <is>
          <t>Auditoría / Junta Directiva</t>
        </is>
      </c>
      <c r="H77" s="195" t="n">
        <v>3</v>
      </c>
      <c r="I77" s="196" t="n"/>
      <c r="J77" s="197">
        <f>IF(I77="","",IF(I77="No aplica","N/A",INDEX(Escala!$C$5:$C$9,MATCH(I77,Escala!$B$5:$B$9,0))))</f>
        <v/>
      </c>
      <c r="K77" s="124" t="n"/>
      <c r="L77" s="124" t="n"/>
      <c r="M77" s="124" t="n"/>
      <c r="N77" s="124" t="n"/>
      <c r="O77" s="198" t="n"/>
      <c r="P77" s="196" t="n"/>
      <c r="Q77" s="199">
        <f>IF(I77="No aplica",0,H77)</f>
        <v/>
      </c>
      <c r="R77" s="199">
        <f>IF(ISNUMBER(J77),J77*H77,0)</f>
        <v/>
      </c>
    </row>
    <row r="78" ht="49" customHeight="1">
      <c r="A78" s="188" t="inlineStr">
        <is>
          <t>S-66</t>
        </is>
      </c>
      <c r="B78" s="189" t="inlineStr">
        <is>
          <t>08. Revisoría fiscal y auditorías</t>
        </is>
      </c>
      <c r="C78" s="190" t="inlineStr">
        <is>
          <t>9.13</t>
        </is>
      </c>
      <c r="D78" s="191" t="inlineStr">
        <is>
          <t>186-187</t>
        </is>
      </c>
      <c r="E78" s="192" t="inlineStr">
        <is>
          <t>Considerar conflictos de interés, incompatibilidades e inhabilidades de los responsables (se recomienda el modelo de tres líneas); no designar al revisor fiscal ni al RL como OC.</t>
        </is>
      </c>
      <c r="F78" s="193" t="inlineStr">
        <is>
          <t>Mapa de roles bajo el modelo de tres líneas; declaraciones de conflicto de interés.</t>
        </is>
      </c>
      <c r="G78" s="194" t="inlineStr">
        <is>
          <t>Junta Directiva</t>
        </is>
      </c>
      <c r="H78" s="195" t="n">
        <v>2</v>
      </c>
      <c r="I78" s="196" t="n"/>
      <c r="J78" s="197">
        <f>IF(I78="","",IF(I78="No aplica","N/A",INDEX(Escala!$C$5:$C$9,MATCH(I78,Escala!$B$5:$B$9,0))))</f>
        <v/>
      </c>
      <c r="K78" s="124" t="n"/>
      <c r="L78" s="124" t="n"/>
      <c r="M78" s="124" t="n"/>
      <c r="N78" s="124" t="n"/>
      <c r="O78" s="198" t="n"/>
      <c r="P78" s="196" t="n"/>
      <c r="Q78" s="199">
        <f>IF(I78="No aplica",0,H78)</f>
        <v/>
      </c>
      <c r="R78" s="199">
        <f>IF(ISNUMBER(J78),J78*H78,0)</f>
        <v/>
      </c>
    </row>
    <row r="79" ht="24" customHeight="1">
      <c r="A79" s="184" t="inlineStr">
        <is>
          <t>09  ·  Etapas de gestión del riesgo     (12 requisitos)</t>
        </is>
      </c>
      <c r="B79" s="185" t="n"/>
      <c r="C79" s="185" t="n"/>
      <c r="D79" s="185" t="n"/>
      <c r="E79" s="185" t="n"/>
      <c r="F79" s="185" t="n"/>
      <c r="G79" s="185" t="n"/>
      <c r="H79" s="185" t="n"/>
      <c r="I79" s="186" t="n"/>
      <c r="J79" s="187">
        <f>IFERROR(SUMIFS($R$7:$R$400,$B$7:$B$400,"09. Etapas de gestión del riesgo")/SUMIFS($Q$7:$Q$400,$B$7:$B$400,"09. Etapas de gestión del riesgo"),"N/A")</f>
        <v/>
      </c>
      <c r="K79" s="186" t="n"/>
      <c r="L79" s="186" t="n"/>
      <c r="M79" s="186" t="n"/>
      <c r="N79" s="186" t="n"/>
      <c r="O79" s="186" t="n"/>
      <c r="P79" s="186" t="n"/>
      <c r="Q79" s="108" t="n"/>
      <c r="R79" s="108" t="n"/>
    </row>
    <row r="80" ht="49" customHeight="1">
      <c r="A80" s="188" t="inlineStr">
        <is>
          <t>S-67</t>
        </is>
      </c>
      <c r="B80" s="189" t="inlineStr">
        <is>
          <t>09. Etapas de gestión del riesgo</t>
        </is>
      </c>
      <c r="C80" s="190" t="inlineStr">
        <is>
          <t>9.14</t>
        </is>
      </c>
      <c r="D80" s="191" t="inlineStr">
        <is>
          <t>187</t>
        </is>
      </c>
      <c r="E80" s="192" t="inlineStr">
        <is>
          <t>Diseñar e implementar una matriz de riesgos que cubra todas las etapas de los procesos, con metodologías, herramientas y fuentes de información definidas.</t>
        </is>
      </c>
      <c r="F80" s="193" t="inlineStr">
        <is>
          <t>Matriz de riesgos LA/FT/FP y C/ST vigente y aprobada.</t>
        </is>
      </c>
      <c r="G80" s="194" t="inlineStr">
        <is>
          <t>Oficial de Cumplimiento</t>
        </is>
      </c>
      <c r="H80" s="195" t="n">
        <v>3</v>
      </c>
      <c r="I80" s="196" t="n"/>
      <c r="J80" s="197">
        <f>IF(I80="","",IF(I80="No aplica","N/A",INDEX(Escala!$C$5:$C$9,MATCH(I80,Escala!$B$5:$B$9,0))))</f>
        <v/>
      </c>
      <c r="K80" s="124" t="n"/>
      <c r="L80" s="124" t="n"/>
      <c r="M80" s="124" t="n"/>
      <c r="N80" s="124" t="n"/>
      <c r="O80" s="198" t="n"/>
      <c r="P80" s="196" t="n"/>
      <c r="Q80" s="199">
        <f>IF(I80="No aplica",0,H80)</f>
        <v/>
      </c>
      <c r="R80" s="199">
        <f>IF(ISNUMBER(J80),J80*H80,0)</f>
        <v/>
      </c>
    </row>
    <row r="81" ht="49" customHeight="1">
      <c r="A81" s="188" t="inlineStr">
        <is>
          <t>S-68</t>
        </is>
      </c>
      <c r="B81" s="189" t="inlineStr">
        <is>
          <t>09. Etapas de gestión del riesgo</t>
        </is>
      </c>
      <c r="C81" s="190" t="inlineStr">
        <is>
          <t>9.14.1 a</t>
        </is>
      </c>
      <c r="D81" s="191" t="inlineStr">
        <is>
          <t>187</t>
        </is>
      </c>
      <c r="E81" s="192" t="inlineStr">
        <is>
          <t>Identificación: analizar el contexto estratégico, organizacional y de administración de riesgos, el sector y el entorno regulatorio.</t>
        </is>
      </c>
      <c r="F81" s="193" t="inlineStr">
        <is>
          <t>Documento de contexto.</t>
        </is>
      </c>
      <c r="G81" s="194" t="inlineStr">
        <is>
          <t>Oficial de Cumplimiento</t>
        </is>
      </c>
      <c r="H81" s="195" t="n">
        <v>2</v>
      </c>
      <c r="I81" s="196" t="n"/>
      <c r="J81" s="197">
        <f>IF(I81="","",IF(I81="No aplica","N/A",INDEX(Escala!$C$5:$C$9,MATCH(I81,Escala!$B$5:$B$9,0))))</f>
        <v/>
      </c>
      <c r="K81" s="124" t="n"/>
      <c r="L81" s="124" t="n"/>
      <c r="M81" s="124" t="n"/>
      <c r="N81" s="124" t="n"/>
      <c r="O81" s="198" t="n"/>
      <c r="P81" s="196" t="n"/>
      <c r="Q81" s="199">
        <f>IF(I81="No aplica",0,H81)</f>
        <v/>
      </c>
      <c r="R81" s="199">
        <f>IF(ISNUMBER(J81),J81*H81,0)</f>
        <v/>
      </c>
    </row>
    <row r="82" ht="75" customHeight="1">
      <c r="A82" s="188" t="inlineStr">
        <is>
          <t>S-69</t>
        </is>
      </c>
      <c r="B82" s="189" t="inlineStr">
        <is>
          <t>09. Etapas de gestión del riesgo</t>
        </is>
      </c>
      <c r="C82" s="190" t="inlineStr">
        <is>
          <t>9.14.1 b-c</t>
        </is>
      </c>
      <c r="D82" s="191" t="inlineStr">
        <is>
          <t>188</t>
        </is>
      </c>
      <c r="E82" s="192" t="inlineStr">
        <is>
          <t>Clasificar los factores de riesgo (sector, actividad, jurisdicción, zonas, terceros, contratistas, intermediarios, canales, contratos estatales incluso en el extranjero) y su materialidad; para C/ST pueden usarse fuentes OCDE y Transparencia Internacional.</t>
        </is>
      </c>
      <c r="F82" s="193" t="inlineStr">
        <is>
          <t>Inventario de factores de riesgo segmentado.</t>
        </is>
      </c>
      <c r="G82" s="194" t="inlineStr">
        <is>
          <t>Oficial de Cumplimiento</t>
        </is>
      </c>
      <c r="H82" s="195" t="n">
        <v>3</v>
      </c>
      <c r="I82" s="196" t="n"/>
      <c r="J82" s="197">
        <f>IF(I82="","",IF(I82="No aplica","N/A",INDEX(Escala!$C$5:$C$9,MATCH(I82,Escala!$B$5:$B$9,0))))</f>
        <v/>
      </c>
      <c r="K82" s="124" t="n"/>
      <c r="L82" s="124" t="n"/>
      <c r="M82" s="124" t="n"/>
      <c r="N82" s="124" t="n"/>
      <c r="O82" s="198" t="n"/>
      <c r="P82" s="196" t="n"/>
      <c r="Q82" s="199">
        <f>IF(I82="No aplica",0,H82)</f>
        <v/>
      </c>
      <c r="R82" s="199">
        <f>IF(ISNUMBER(J82),J82*H82,0)</f>
        <v/>
      </c>
    </row>
    <row r="83" ht="49" customHeight="1">
      <c r="A83" s="188" t="inlineStr">
        <is>
          <t>S-70</t>
        </is>
      </c>
      <c r="B83" s="189" t="inlineStr">
        <is>
          <t>09. Etapas de gestión del riesgo</t>
        </is>
      </c>
      <c r="C83" s="190" t="inlineStr">
        <is>
          <t>9.14.1 d</t>
        </is>
      </c>
      <c r="D83" s="191" t="inlineStr">
        <is>
          <t>188</t>
        </is>
      </c>
      <c r="E83" s="192" t="inlineStr">
        <is>
          <t>Establecer metodologías para identificar e individualizar los riesgos específicos a partir de la segmentación de factores.</t>
        </is>
      </c>
      <c r="F83" s="193" t="inlineStr">
        <is>
          <t>Metodología de identificación y listado de eventos de riesgo.</t>
        </is>
      </c>
      <c r="G83" s="194" t="inlineStr">
        <is>
          <t>Oficial de Cumplimiento</t>
        </is>
      </c>
      <c r="H83" s="195" t="n">
        <v>3</v>
      </c>
      <c r="I83" s="196" t="n"/>
      <c r="J83" s="197">
        <f>IF(I83="","",IF(I83="No aplica","N/A",INDEX(Escala!$C$5:$C$9,MATCH(I83,Escala!$B$5:$B$9,0))))</f>
        <v/>
      </c>
      <c r="K83" s="124" t="n"/>
      <c r="L83" s="124" t="n"/>
      <c r="M83" s="124" t="n"/>
      <c r="N83" s="124" t="n"/>
      <c r="O83" s="198" t="n"/>
      <c r="P83" s="196" t="n"/>
      <c r="Q83" s="199">
        <f>IF(I83="No aplica",0,H83)</f>
        <v/>
      </c>
      <c r="R83" s="199">
        <f>IF(ISNUMBER(J83),J83*H83,0)</f>
        <v/>
      </c>
    </row>
    <row r="84" ht="49" customHeight="1">
      <c r="A84" s="188" t="inlineStr">
        <is>
          <t>S-72</t>
        </is>
      </c>
      <c r="B84" s="189" t="inlineStr">
        <is>
          <t>09. Etapas de gestión del riesgo</t>
        </is>
      </c>
      <c r="C84" s="190" t="inlineStr">
        <is>
          <t>9.14.1</t>
        </is>
      </c>
      <c r="D84" s="191" t="inlineStr">
        <is>
          <t>187</t>
        </is>
      </c>
      <c r="E84" s="192" t="inlineStr">
        <is>
          <t>Revisar la identificación periódicamente y ante cambios significativos (productos, servicios, canales, jurisdicciones, clientes, normativa).</t>
        </is>
      </c>
      <c r="F84" s="193" t="inlineStr">
        <is>
          <t>Control de versiones de la matriz con fechas y motivos de actualización.</t>
        </is>
      </c>
      <c r="G84" s="194" t="inlineStr">
        <is>
          <t>Oficial de Cumplimiento</t>
        </is>
      </c>
      <c r="H84" s="195" t="n">
        <v>2</v>
      </c>
      <c r="I84" s="196" t="n"/>
      <c r="J84" s="197">
        <f>IF(I84="","",IF(I84="No aplica","N/A",INDEX(Escala!$C$5:$C$9,MATCH(I84,Escala!$B$5:$B$9,0))))</f>
        <v/>
      </c>
      <c r="K84" s="124" t="n"/>
      <c r="L84" s="124" t="n"/>
      <c r="M84" s="124" t="n"/>
      <c r="N84" s="124" t="n"/>
      <c r="O84" s="198" t="n"/>
      <c r="P84" s="196" t="n"/>
      <c r="Q84" s="199">
        <f>IF(I84="No aplica",0,H84)</f>
        <v/>
      </c>
      <c r="R84" s="199">
        <f>IF(ISNUMBER(J84),J84*H84,0)</f>
        <v/>
      </c>
    </row>
    <row r="85" ht="49" customHeight="1">
      <c r="A85" s="188" t="inlineStr">
        <is>
          <t>S-73</t>
        </is>
      </c>
      <c r="B85" s="189" t="inlineStr">
        <is>
          <t>09. Etapas de gestión del riesgo</t>
        </is>
      </c>
      <c r="C85" s="190" t="inlineStr">
        <is>
          <t>9.14.2 a-b</t>
        </is>
      </c>
      <c r="D85" s="191" t="inlineStr">
        <is>
          <t>188</t>
        </is>
      </c>
      <c r="E85" s="192" t="inlineStr">
        <is>
          <t>Medición: metodología de probabilidad e impacto; mediciones individuales y consolidadas por factor y riesgo; perfil de riesgo inherente.</t>
        </is>
      </c>
      <c r="F85" s="193" t="inlineStr">
        <is>
          <t>Matriz con calificación de probabilidad × impacto y perfil inherente consolidado.</t>
        </is>
      </c>
      <c r="G85" s="194" t="inlineStr">
        <is>
          <t>Oficial de Cumplimiento</t>
        </is>
      </c>
      <c r="H85" s="195" t="n">
        <v>3</v>
      </c>
      <c r="I85" s="196" t="n"/>
      <c r="J85" s="197">
        <f>IF(I85="","",IF(I85="No aplica","N/A",INDEX(Escala!$C$5:$C$9,MATCH(I85,Escala!$B$5:$B$9,0))))</f>
        <v/>
      </c>
      <c r="K85" s="124" t="n"/>
      <c r="L85" s="124" t="n"/>
      <c r="M85" s="124" t="n"/>
      <c r="N85" s="124" t="n"/>
      <c r="O85" s="198" t="n"/>
      <c r="P85" s="196" t="n"/>
      <c r="Q85" s="199">
        <f>IF(I85="No aplica",0,H85)</f>
        <v/>
      </c>
      <c r="R85" s="199">
        <f>IF(ISNUMBER(J85),J85*H85,0)</f>
        <v/>
      </c>
    </row>
    <row r="86" ht="49" customHeight="1">
      <c r="A86" s="188" t="inlineStr">
        <is>
          <t>S-74</t>
        </is>
      </c>
      <c r="B86" s="189" t="inlineStr">
        <is>
          <t>09. Etapas de gestión del riesgo</t>
        </is>
      </c>
      <c r="C86" s="190" t="inlineStr">
        <is>
          <t>9.14.2 c-d</t>
        </is>
      </c>
      <c r="D86" s="191" t="inlineStr">
        <is>
          <t>188</t>
        </is>
      </c>
      <c r="E86" s="192" t="inlineStr">
        <is>
          <t>Evaluar el riesgo al incursionar en nuevos mercados, unidades de negocio o productos, y considerar cambios legislativos en las jurisdicciones donde opera.</t>
        </is>
      </c>
      <c r="F86" s="193" t="inlineStr">
        <is>
          <t>Evaluaciones previas a lanzamientos; registro de cambios normativos analizados.</t>
        </is>
      </c>
      <c r="G86" s="194" t="inlineStr">
        <is>
          <t>Oficial de Cumplimiento</t>
        </is>
      </c>
      <c r="H86" s="195" t="n">
        <v>2</v>
      </c>
      <c r="I86" s="196" t="n"/>
      <c r="J86" s="197">
        <f>IF(I86="","",IF(I86="No aplica","N/A",INDEX(Escala!$C$5:$C$9,MATCH(I86,Escala!$B$5:$B$9,0))))</f>
        <v/>
      </c>
      <c r="K86" s="124" t="n"/>
      <c r="L86" s="124" t="n"/>
      <c r="M86" s="124" t="n"/>
      <c r="N86" s="124" t="n"/>
      <c r="O86" s="198" t="n"/>
      <c r="P86" s="196" t="n"/>
      <c r="Q86" s="199">
        <f>IF(I86="No aplica",0,H86)</f>
        <v/>
      </c>
      <c r="R86" s="199">
        <f>IF(ISNUMBER(J86),J86*H86,0)</f>
        <v/>
      </c>
    </row>
    <row r="87" ht="49" customHeight="1">
      <c r="A87" s="188" t="inlineStr">
        <is>
          <t>S-75</t>
        </is>
      </c>
      <c r="B87" s="189" t="inlineStr">
        <is>
          <t>09. Etapas de gestión del riesgo</t>
        </is>
      </c>
      <c r="C87" s="190" t="inlineStr">
        <is>
          <t>9.14.3 a-b</t>
        </is>
      </c>
      <c r="D87" s="191" t="inlineStr">
        <is>
          <t>189</t>
        </is>
      </c>
      <c r="E87" s="192" t="inlineStr">
        <is>
          <t>Control: metodologías con acciones suficientes, apropiadas y medibles para mitigar el riesgo y establecer el perfil de riesgo residual considerando la efectividad de los controles.</t>
        </is>
      </c>
      <c r="F87" s="193" t="inlineStr">
        <is>
          <t>Calificación de controles (diseño y ejecución) y perfil residual.</t>
        </is>
      </c>
      <c r="G87" s="194" t="inlineStr">
        <is>
          <t>Oficial de Cumplimiento</t>
        </is>
      </c>
      <c r="H87" s="195" t="n">
        <v>3</v>
      </c>
      <c r="I87" s="196" t="n"/>
      <c r="J87" s="197">
        <f>IF(I87="","",IF(I87="No aplica","N/A",INDEX(Escala!$C$5:$C$9,MATCH(I87,Escala!$B$5:$B$9,0))))</f>
        <v/>
      </c>
      <c r="K87" s="124" t="n"/>
      <c r="L87" s="124" t="n"/>
      <c r="M87" s="124" t="n"/>
      <c r="N87" s="124" t="n"/>
      <c r="O87" s="198" t="n"/>
      <c r="P87" s="196" t="n"/>
      <c r="Q87" s="199">
        <f>IF(I87="No aplica",0,H87)</f>
        <v/>
      </c>
      <c r="R87" s="199">
        <f>IF(ISNUMBER(J87),J87*H87,0)</f>
        <v/>
      </c>
    </row>
    <row r="88" ht="36" customHeight="1">
      <c r="A88" s="188" t="inlineStr">
        <is>
          <t>S-76</t>
        </is>
      </c>
      <c r="B88" s="189" t="inlineStr">
        <is>
          <t>09. Etapas de gestión del riesgo</t>
        </is>
      </c>
      <c r="C88" s="190" t="inlineStr">
        <is>
          <t>9.14.3 c</t>
        </is>
      </c>
      <c r="D88" s="191" t="inlineStr">
        <is>
          <t>189</t>
        </is>
      </c>
      <c r="E88" s="192" t="inlineStr">
        <is>
          <t>Los controles deben contribuir a detectar operaciones inusuales y sospechosas (a mayor riesgo, mayor control).</t>
        </is>
      </c>
      <c r="F88" s="193" t="inlineStr">
        <is>
          <t>Controles de detección vinculados a cada riesgo de la matriz.</t>
        </is>
      </c>
      <c r="G88" s="194" t="inlineStr">
        <is>
          <t>Oficial de Cumplimiento</t>
        </is>
      </c>
      <c r="H88" s="195" t="n">
        <v>3</v>
      </c>
      <c r="I88" s="196" t="n"/>
      <c r="J88" s="197">
        <f>IF(I88="","",IF(I88="No aplica","N/A",INDEX(Escala!$C$5:$C$9,MATCH(I88,Escala!$B$5:$B$9,0))))</f>
        <v/>
      </c>
      <c r="K88" s="124" t="n"/>
      <c r="L88" s="124" t="n"/>
      <c r="M88" s="124" t="n"/>
      <c r="N88" s="124" t="n"/>
      <c r="O88" s="198" t="n"/>
      <c r="P88" s="196" t="n"/>
      <c r="Q88" s="199">
        <f>IF(I88="No aplica",0,H88)</f>
        <v/>
      </c>
      <c r="R88" s="199">
        <f>IF(ISNUMBER(J88),J88*H88,0)</f>
        <v/>
      </c>
    </row>
    <row r="89" ht="36" customHeight="1">
      <c r="A89" s="188" t="inlineStr">
        <is>
          <t>S-77</t>
        </is>
      </c>
      <c r="B89" s="189" t="inlineStr">
        <is>
          <t>09. Etapas de gestión del riesgo</t>
        </is>
      </c>
      <c r="C89" s="190" t="inlineStr">
        <is>
          <t>9.14.4 a</t>
        </is>
      </c>
      <c r="D89" s="191" t="inlineStr">
        <is>
          <t>189</t>
        </is>
      </c>
      <c r="E89" s="192" t="inlineStr">
        <is>
          <t>Monitoreo: seguimiento periódico y comparativo del riesgo inherente y residual de cada factor y riesgo asociado.</t>
        </is>
      </c>
      <c r="F89" s="193" t="inlineStr">
        <is>
          <t>Informe comparativo entre periodos.</t>
        </is>
      </c>
      <c r="G89" s="194" t="inlineStr">
        <is>
          <t>Oficial de Cumplimiento</t>
        </is>
      </c>
      <c r="H89" s="195" t="n">
        <v>3</v>
      </c>
      <c r="I89" s="196" t="n"/>
      <c r="J89" s="197">
        <f>IF(I89="","",IF(I89="No aplica","N/A",INDEX(Escala!$C$5:$C$9,MATCH(I89,Escala!$B$5:$B$9,0))))</f>
        <v/>
      </c>
      <c r="K89" s="124" t="n"/>
      <c r="L89" s="124" t="n"/>
      <c r="M89" s="124" t="n"/>
      <c r="N89" s="124" t="n"/>
      <c r="O89" s="198" t="n"/>
      <c r="P89" s="196" t="n"/>
      <c r="Q89" s="199">
        <f>IF(I89="No aplica",0,H89)</f>
        <v/>
      </c>
      <c r="R89" s="199">
        <f>IF(ISNUMBER(J89),J89*H89,0)</f>
        <v/>
      </c>
    </row>
    <row r="90" ht="49" customHeight="1">
      <c r="A90" s="188" t="inlineStr">
        <is>
          <t>S-78</t>
        </is>
      </c>
      <c r="B90" s="189" t="inlineStr">
        <is>
          <t>09. Etapas de gestión del riesgo</t>
        </is>
      </c>
      <c r="C90" s="190" t="inlineStr">
        <is>
          <t>9.14.4 b-d</t>
        </is>
      </c>
      <c r="D90" s="191" t="inlineStr">
        <is>
          <t>189-190</t>
        </is>
      </c>
      <c r="E90" s="192" t="inlineStr">
        <is>
          <t>Seguimiento continuo con periodicidad acorde al perfil residual; controles integrales y oportunos; riesgo residual dentro de los niveles de aceptación definidos.</t>
        </is>
      </c>
      <c r="F90" s="193" t="inlineStr">
        <is>
          <t>Niveles de aceptación (apetito/tolerancia) definidos e indicadores de seguimiento.</t>
        </is>
      </c>
      <c r="G90" s="194" t="inlineStr">
        <is>
          <t>Oficial de Cumplimiento</t>
        </is>
      </c>
      <c r="H90" s="195" t="n">
        <v>2</v>
      </c>
      <c r="I90" s="196" t="n"/>
      <c r="J90" s="197">
        <f>IF(I90="","",IF(I90="No aplica","N/A",INDEX(Escala!$C$5:$C$9,MATCH(I90,Escala!$B$5:$B$9,0))))</f>
        <v/>
      </c>
      <c r="K90" s="124" t="n"/>
      <c r="L90" s="124" t="n"/>
      <c r="M90" s="124" t="n"/>
      <c r="N90" s="124" t="n"/>
      <c r="O90" s="198" t="n"/>
      <c r="P90" s="196" t="n"/>
      <c r="Q90" s="199">
        <f>IF(I90="No aplica",0,H90)</f>
        <v/>
      </c>
      <c r="R90" s="199">
        <f>IF(ISNUMBER(J90),J90*H90,0)</f>
        <v/>
      </c>
    </row>
    <row r="91" ht="49" customHeight="1">
      <c r="A91" s="188" t="inlineStr">
        <is>
          <t>S-80</t>
        </is>
      </c>
      <c r="B91" s="189" t="inlineStr">
        <is>
          <t>09. Etapas de gestión del riesgo</t>
        </is>
      </c>
      <c r="C91" s="190" t="inlineStr">
        <is>
          <t>9.14.4 f; 9.26.2</t>
        </is>
      </c>
      <c r="D91" s="191" t="inlineStr">
        <is>
          <t>190; 204</t>
        </is>
      </c>
      <c r="E91" s="192" t="inlineStr">
        <is>
          <t>(Recomendación, no obligación) Encuestas a empleados y contratistas y sistema de métricas propias para medir la efectividad del Sistema. Peso 0: no afecta el porcentaje.</t>
        </is>
      </c>
      <c r="F91" s="193" t="inlineStr">
        <is>
          <t>Resultados de encuestas; tablero de indicadores (incidentes, tiempos de respuesta, KRI).</t>
        </is>
      </c>
      <c r="G91" s="194" t="inlineStr">
        <is>
          <t>Oficial de Cumplimiento</t>
        </is>
      </c>
      <c r="H91" s="195" t="n">
        <v>0</v>
      </c>
      <c r="I91" s="196" t="n"/>
      <c r="J91" s="197">
        <f>IF(I91="","",IF(I91="No aplica","N/A",INDEX(Escala!$C$5:$C$9,MATCH(I91,Escala!$B$5:$B$9,0))))</f>
        <v/>
      </c>
      <c r="K91" s="124" t="n"/>
      <c r="L91" s="124" t="n"/>
      <c r="M91" s="124" t="n"/>
      <c r="N91" s="124" t="n"/>
      <c r="O91" s="198" t="n"/>
      <c r="P91" s="196" t="n"/>
      <c r="Q91" s="199">
        <f>IF(I91="No aplica",0,H91)</f>
        <v/>
      </c>
      <c r="R91" s="199">
        <f>IF(ISNUMBER(J91),J91*H91,0)</f>
        <v/>
      </c>
    </row>
    <row r="92" ht="24" customHeight="1">
      <c r="A92" s="184" t="inlineStr">
        <is>
          <t>10  ·  Debida diligencia     (15 requisitos)</t>
        </is>
      </c>
      <c r="B92" s="185" t="n"/>
      <c r="C92" s="185" t="n"/>
      <c r="D92" s="185" t="n"/>
      <c r="E92" s="185" t="n"/>
      <c r="F92" s="185" t="n"/>
      <c r="G92" s="185" t="n"/>
      <c r="H92" s="185" t="n"/>
      <c r="I92" s="186" t="n"/>
      <c r="J92" s="187">
        <f>IFERROR(SUMIFS($R$7:$R$400,$B$7:$B$400,"10. Debida diligencia")/SUMIFS($Q$7:$Q$400,$B$7:$B$400,"10. Debida diligencia"),"N/A")</f>
        <v/>
      </c>
      <c r="K92" s="186" t="n"/>
      <c r="L92" s="186" t="n"/>
      <c r="M92" s="186" t="n"/>
      <c r="N92" s="186" t="n"/>
      <c r="O92" s="186" t="n"/>
      <c r="P92" s="186" t="n"/>
      <c r="Q92" s="108" t="n"/>
      <c r="R92" s="108" t="n"/>
    </row>
    <row r="93" ht="62" customHeight="1">
      <c r="A93" s="188" t="inlineStr">
        <is>
          <t>S-81</t>
        </is>
      </c>
      <c r="B93" s="189" t="inlineStr">
        <is>
          <t>10. Debida diligencia</t>
        </is>
      </c>
      <c r="C93" s="190" t="inlineStr">
        <is>
          <t>9.15; 9.14.1 e</t>
        </is>
      </c>
      <c r="D93" s="191" t="inlineStr">
        <is>
          <t>188; 190-191</t>
        </is>
      </c>
      <c r="E93" s="192" t="inlineStr">
        <is>
          <t>Debida diligencia con enfoque basado en riesgo: niveles proporcionales, condiciones de tiempo, modo, lugar y prioridad para ejecutarla, y definición de contrapartes, contratos y transacciones que requieren DDI.</t>
        </is>
      </c>
      <c r="F93" s="193" t="inlineStr">
        <is>
          <t>Procedimiento de DD por niveles (simplificada, estándar e intensificada) con su frecuencia y prioridad.</t>
        </is>
      </c>
      <c r="G93" s="194" t="inlineStr">
        <is>
          <t>Oficial de Cumplimiento</t>
        </is>
      </c>
      <c r="H93" s="195" t="n">
        <v>3</v>
      </c>
      <c r="I93" s="196" t="n"/>
      <c r="J93" s="197">
        <f>IF(I93="","",IF(I93="No aplica","N/A",INDEX(Escala!$C$5:$C$9,MATCH(I93,Escala!$B$5:$B$9,0))))</f>
        <v/>
      </c>
      <c r="K93" s="124" t="n"/>
      <c r="L93" s="124" t="n"/>
      <c r="M93" s="124" t="n"/>
      <c r="N93" s="124" t="n"/>
      <c r="O93" s="198" t="n"/>
      <c r="P93" s="196" t="n"/>
      <c r="Q93" s="199">
        <f>IF(I93="No aplica",0,H93)</f>
        <v/>
      </c>
      <c r="R93" s="199">
        <f>IF(ISNUMBER(J93),J93*H93,0)</f>
        <v/>
      </c>
    </row>
    <row r="94" ht="49" customHeight="1">
      <c r="A94" s="188" t="inlineStr">
        <is>
          <t>S-82</t>
        </is>
      </c>
      <c r="B94" s="189" t="inlineStr">
        <is>
          <t>10. Debida diligencia</t>
        </is>
      </c>
      <c r="C94" s="190" t="inlineStr">
        <is>
          <t>9.15</t>
        </is>
      </c>
      <c r="D94" s="191" t="inlineStr">
        <is>
          <t>191</t>
        </is>
      </c>
      <c r="E94" s="192" t="inlineStr">
        <is>
          <t>La Debida Diligencia respeta la normativa de protección de datos personales (Leyes 1266 de 2008 y 1581 de 2012).</t>
        </is>
      </c>
      <c r="F94" s="193" t="inlineStr">
        <is>
          <t>Autorizaciones de tratamiento en formatos de vinculación; aviso de privacidad; finalidad documentada.</t>
        </is>
      </c>
      <c r="G94" s="194" t="inlineStr">
        <is>
          <t>OC / Oficial de protección de datos</t>
        </is>
      </c>
      <c r="H94" s="195" t="n">
        <v>3</v>
      </c>
      <c r="I94" s="196" t="n"/>
      <c r="J94" s="197">
        <f>IF(I94="","",IF(I94="No aplica","N/A",INDEX(Escala!$C$5:$C$9,MATCH(I94,Escala!$B$5:$B$9,0))))</f>
        <v/>
      </c>
      <c r="K94" s="124" t="n"/>
      <c r="L94" s="124" t="n"/>
      <c r="M94" s="124" t="n"/>
      <c r="N94" s="124" t="n"/>
      <c r="O94" s="198" t="n"/>
      <c r="P94" s="196" t="n"/>
      <c r="Q94" s="199">
        <f>IF(I94="No aplica",0,H94)</f>
        <v/>
      </c>
      <c r="R94" s="199">
        <f>IF(ISNUMBER(J94),J94*H94,0)</f>
        <v/>
      </c>
    </row>
    <row r="95" ht="49" customHeight="1">
      <c r="A95" s="188" t="inlineStr">
        <is>
          <t>S-83</t>
        </is>
      </c>
      <c r="B95" s="189" t="inlineStr">
        <is>
          <t>10. Debida diligencia</t>
        </is>
      </c>
      <c r="C95" s="190" t="inlineStr">
        <is>
          <t>9.15.1</t>
        </is>
      </c>
      <c r="D95" s="191" t="inlineStr">
        <is>
          <t>191</t>
        </is>
      </c>
      <c r="E95" s="192" t="inlineStr">
        <is>
          <t>Identificar a la contraparte y verificar su identidad con documentos o fuentes confiables e independientes, usando formatos de conocimiento diseñados según sector y riesgo.</t>
        </is>
      </c>
      <c r="F95" s="193" t="inlineStr">
        <is>
          <t>Formatos de vinculación diligenciados con soportes (RUT, documento de identidad, certificado de existencia).</t>
        </is>
      </c>
      <c r="G95" s="194" t="inlineStr">
        <is>
          <t>Áreas de vinculación</t>
        </is>
      </c>
      <c r="H95" s="195" t="n">
        <v>3</v>
      </c>
      <c r="I95" s="196" t="n"/>
      <c r="J95" s="197">
        <f>IF(I95="","",IF(I95="No aplica","N/A",INDEX(Escala!$C$5:$C$9,MATCH(I95,Escala!$B$5:$B$9,0))))</f>
        <v/>
      </c>
      <c r="K95" s="124" t="n"/>
      <c r="L95" s="124" t="n"/>
      <c r="M95" s="124" t="n"/>
      <c r="N95" s="124" t="n"/>
      <c r="O95" s="198" t="n"/>
      <c r="P95" s="196" t="n"/>
      <c r="Q95" s="199">
        <f>IF(I95="No aplica",0,H95)</f>
        <v/>
      </c>
      <c r="R95" s="199">
        <f>IF(ISNUMBER(J95),J95*H95,0)</f>
        <v/>
      </c>
    </row>
    <row r="96" ht="49" customHeight="1">
      <c r="A96" s="188" t="inlineStr">
        <is>
          <t>S-84</t>
        </is>
      </c>
      <c r="B96" s="189" t="inlineStr">
        <is>
          <t>10. Debida diligencia</t>
        </is>
      </c>
      <c r="C96" s="190" t="inlineStr">
        <is>
          <t>9.15.1</t>
        </is>
      </c>
      <c r="D96" s="191" t="inlineStr">
        <is>
          <t>191</t>
        </is>
      </c>
      <c r="E96" s="192" t="inlineStr">
        <is>
          <t>Entender el propósito y carácter del negocio jurídico (estatal o privado): objeto, necesidad, conveniencia y correlación con los bienes o servicios contratados.</t>
        </is>
      </c>
      <c r="F96" s="193" t="inlineStr">
        <is>
          <t>Justificación del negocio en la solicitud de contratación o vinculación.</t>
        </is>
      </c>
      <c r="G96" s="194" t="inlineStr">
        <is>
          <t>Áreas de vinculación</t>
        </is>
      </c>
      <c r="H96" s="195" t="n">
        <v>2</v>
      </c>
      <c r="I96" s="196" t="n"/>
      <c r="J96" s="197">
        <f>IF(I96="","",IF(I96="No aplica","N/A",INDEX(Escala!$C$5:$C$9,MATCH(I96,Escala!$B$5:$B$9,0))))</f>
        <v/>
      </c>
      <c r="K96" s="124" t="n"/>
      <c r="L96" s="124" t="n"/>
      <c r="M96" s="124" t="n"/>
      <c r="N96" s="124" t="n"/>
      <c r="O96" s="198" t="n"/>
      <c r="P96" s="196" t="n"/>
      <c r="Q96" s="199">
        <f>IF(I96="No aplica",0,H96)</f>
        <v/>
      </c>
      <c r="R96" s="199">
        <f>IF(ISNUMBER(J96),J96*H96,0)</f>
        <v/>
      </c>
    </row>
    <row r="97" ht="49" customHeight="1">
      <c r="A97" s="188" t="inlineStr">
        <is>
          <t>S-85</t>
        </is>
      </c>
      <c r="B97" s="189" t="inlineStr">
        <is>
          <t>10. Debida diligencia</t>
        </is>
      </c>
      <c r="C97" s="190" t="inlineStr">
        <is>
          <t>9.15.1</t>
        </is>
      </c>
      <c r="D97" s="191" t="inlineStr">
        <is>
          <t>191</t>
        </is>
      </c>
      <c r="E97" s="192" t="inlineStr">
        <is>
          <t>Identificar beneficiarios finales y la estructura de titularidad y control (propiedad o control efectivo) con medidas razonables y proporcionales de verificación.</t>
        </is>
      </c>
      <c r="F97" s="193" t="inlineStr">
        <is>
          <t>Formato de beneficiario final; composición accionaria; especificación de cómo se ejerce el control.</t>
        </is>
      </c>
      <c r="G97" s="194" t="inlineStr">
        <is>
          <t>Áreas de vinculación / OC</t>
        </is>
      </c>
      <c r="H97" s="195" t="n">
        <v>3</v>
      </c>
      <c r="I97" s="196" t="n"/>
      <c r="J97" s="197">
        <f>IF(I97="","",IF(I97="No aplica","N/A",INDEX(Escala!$C$5:$C$9,MATCH(I97,Escala!$B$5:$B$9,0))))</f>
        <v/>
      </c>
      <c r="K97" s="124" t="n"/>
      <c r="L97" s="124" t="n"/>
      <c r="M97" s="124" t="n"/>
      <c r="N97" s="124" t="n"/>
      <c r="O97" s="198" t="n"/>
      <c r="P97" s="196" t="n"/>
      <c r="Q97" s="199">
        <f>IF(I97="No aplica",0,H97)</f>
        <v/>
      </c>
      <c r="R97" s="199">
        <f>IF(ISNUMBER(J97),J97*H97,0)</f>
        <v/>
      </c>
    </row>
    <row r="98" ht="49" customHeight="1">
      <c r="A98" s="188" t="inlineStr">
        <is>
          <t>S-86</t>
        </is>
      </c>
      <c r="B98" s="189" t="inlineStr">
        <is>
          <t>10. Debida diligencia</t>
        </is>
      </c>
      <c r="C98" s="190" t="inlineStr">
        <is>
          <t>9.15.1</t>
        </is>
      </c>
      <c r="D98" s="191" t="inlineStr">
        <is>
          <t>191-192</t>
        </is>
      </c>
      <c r="E98" s="192" t="inlineStr">
        <is>
          <t>Debida Diligencia continua de la relación y de las transacciones, incluyendo el origen de los fondos cuando sea necesario.</t>
        </is>
      </c>
      <c r="F98" s="193" t="inlineStr">
        <is>
          <t>Monitoreo transaccional y revisiones periódicas documentadas.</t>
        </is>
      </c>
      <c r="G98" s="194" t="inlineStr">
        <is>
          <t>Oficial de Cumplimiento</t>
        </is>
      </c>
      <c r="H98" s="195" t="n">
        <v>3</v>
      </c>
      <c r="I98" s="196" t="n"/>
      <c r="J98" s="197">
        <f>IF(I98="","",IF(I98="No aplica","N/A",INDEX(Escala!$C$5:$C$9,MATCH(I98,Escala!$B$5:$B$9,0))))</f>
        <v/>
      </c>
      <c r="K98" s="124" t="n"/>
      <c r="L98" s="124" t="n"/>
      <c r="M98" s="124" t="n"/>
      <c r="N98" s="124" t="n"/>
      <c r="O98" s="198" t="n"/>
      <c r="P98" s="196" t="n"/>
      <c r="Q98" s="199">
        <f>IF(I98="No aplica",0,H98)</f>
        <v/>
      </c>
      <c r="R98" s="199">
        <f>IF(ISNUMBER(J98),J98*H98,0)</f>
        <v/>
      </c>
    </row>
    <row r="99" ht="62" customHeight="1">
      <c r="A99" s="188" t="inlineStr">
        <is>
          <t>S-87</t>
        </is>
      </c>
      <c r="B99" s="189" t="inlineStr">
        <is>
          <t>10. Debida diligencia</t>
        </is>
      </c>
      <c r="C99" s="190" t="inlineStr">
        <is>
          <t>9.15.1</t>
        </is>
      </c>
      <c r="D99" s="191" t="inlineStr">
        <is>
          <t>192</t>
        </is>
      </c>
      <c r="E99" s="192" t="inlineStr">
        <is>
          <t>Base de datos de contrapartes con, como mínimo: nombre, identificación, domicilio, beneficiario final, representante legal, persona de contacto, cargo y fecha del proceso de conocimiento o monitoreo.</t>
        </is>
      </c>
      <c r="F99" s="193" t="inlineStr">
        <is>
          <t>Base de datos con los 8 campos; medir el % de registros completos.</t>
        </is>
      </c>
      <c r="G99" s="194" t="inlineStr">
        <is>
          <t>Oficial de Cumplimiento</t>
        </is>
      </c>
      <c r="H99" s="195" t="n">
        <v>3</v>
      </c>
      <c r="I99" s="196" t="n"/>
      <c r="J99" s="197">
        <f>IF(I99="","",IF(I99="No aplica","N/A",INDEX(Escala!$C$5:$C$9,MATCH(I99,Escala!$B$5:$B$9,0))))</f>
        <v/>
      </c>
      <c r="K99" s="124" t="n"/>
      <c r="L99" s="124" t="n"/>
      <c r="M99" s="124" t="n"/>
      <c r="N99" s="124" t="n"/>
      <c r="O99" s="198" t="n"/>
      <c r="P99" s="196" t="n"/>
      <c r="Q99" s="199">
        <f>IF(I99="No aplica",0,H99)</f>
        <v/>
      </c>
      <c r="R99" s="199">
        <f>IF(ISNUMBER(J99),J99*H99,0)</f>
        <v/>
      </c>
    </row>
    <row r="100" ht="49" customHeight="1">
      <c r="A100" s="188" t="inlineStr">
        <is>
          <t>S-88</t>
        </is>
      </c>
      <c r="B100" s="189" t="inlineStr">
        <is>
          <t>10. Debida diligencia</t>
        </is>
      </c>
      <c r="C100" s="190" t="inlineStr">
        <is>
          <t>9.15.1</t>
        </is>
      </c>
      <c r="D100" s="191" t="inlineStr">
        <is>
          <t>192</t>
        </is>
      </c>
      <c r="E100" s="192" t="inlineStr">
        <is>
          <t>Analizar remuneraciones y pagos, canales, jurisdicciones de pago y de ejecución, para descartar pagos ocultos de sobornos vía contratistas o intermediarios.</t>
        </is>
      </c>
      <c r="F100" s="193" t="inlineStr">
        <is>
          <t>Análisis de razonabilidad de comisiones y honorarios; alertas de pagos a jurisdicciones de alto riesgo.</t>
        </is>
      </c>
      <c r="G100" s="194" t="inlineStr">
        <is>
          <t>OC / Área financiera</t>
        </is>
      </c>
      <c r="H100" s="195" t="n">
        <v>3</v>
      </c>
      <c r="I100" s="196" t="n"/>
      <c r="J100" s="197">
        <f>IF(I100="","",IF(I100="No aplica","N/A",INDEX(Escala!$C$5:$C$9,MATCH(I100,Escala!$B$5:$B$9,0))))</f>
        <v/>
      </c>
      <c r="K100" s="124" t="n"/>
      <c r="L100" s="124" t="n"/>
      <c r="M100" s="124" t="n"/>
      <c r="N100" s="124" t="n"/>
      <c r="O100" s="198" t="n"/>
      <c r="P100" s="196" t="n"/>
      <c r="Q100" s="199">
        <f>IF(I100="No aplica",0,H100)</f>
        <v/>
      </c>
      <c r="R100" s="199">
        <f>IF(ISNUMBER(J100),J100*H100,0)</f>
        <v/>
      </c>
    </row>
    <row r="101" ht="62" customHeight="1">
      <c r="A101" s="188" t="inlineStr">
        <is>
          <t>S-89</t>
        </is>
      </c>
      <c r="B101" s="189" t="inlineStr">
        <is>
          <t>10. Debida diligencia</t>
        </is>
      </c>
      <c r="C101" s="190" t="inlineStr">
        <is>
          <t>9.15.1</t>
        </is>
      </c>
      <c r="D101" s="191" t="inlineStr">
        <is>
          <t>192</t>
        </is>
      </c>
      <c r="E101" s="192" t="inlineStr">
        <is>
          <t>Personal competente y recursos humanos y tecnológicos para consultar antecedentes comerciales, reputacionales y sancionatorios, incluidos contratistas, potenciales contratistas y personas relevantes que les presten servicios.</t>
        </is>
      </c>
      <c r="F101" s="193" t="inlineStr">
        <is>
          <t>Herramientas de consulta (listas, antecedentes) y personal designado.</t>
        </is>
      </c>
      <c r="G101" s="194" t="inlineStr">
        <is>
          <t>RL / OC</t>
        </is>
      </c>
      <c r="H101" s="195" t="n">
        <v>2</v>
      </c>
      <c r="I101" s="196" t="n"/>
      <c r="J101" s="197">
        <f>IF(I101="","",IF(I101="No aplica","N/A",INDEX(Escala!$C$5:$C$9,MATCH(I101,Escala!$B$5:$B$9,0))))</f>
        <v/>
      </c>
      <c r="K101" s="124" t="n"/>
      <c r="L101" s="124" t="n"/>
      <c r="M101" s="124" t="n"/>
      <c r="N101" s="124" t="n"/>
      <c r="O101" s="198" t="n"/>
      <c r="P101" s="196" t="n"/>
      <c r="Q101" s="199">
        <f>IF(I101="No aplica",0,H101)</f>
        <v/>
      </c>
      <c r="R101" s="199">
        <f>IF(ISNUMBER(J101),J101*H101,0)</f>
        <v/>
      </c>
    </row>
    <row r="102" ht="49" customHeight="1">
      <c r="A102" s="188" t="inlineStr">
        <is>
          <t>S-90</t>
        </is>
      </c>
      <c r="B102" s="189" t="inlineStr">
        <is>
          <t>10. Debida diligencia</t>
        </is>
      </c>
      <c r="C102" s="190" t="inlineStr">
        <is>
          <t>9.15.1</t>
        </is>
      </c>
      <c r="D102" s="191" t="inlineStr">
        <is>
          <t>192-193</t>
        </is>
      </c>
      <c r="E102" s="192" t="inlineStr">
        <is>
          <t>Actualizar la Debida Diligencia mínimo una (1) vez al año para contrapartes de riesgo alto y cada dos (2) años para riesgo medio o bajo, o antes ante cambios o alertas.</t>
        </is>
      </c>
      <c r="F102" s="193" t="inlineStr">
        <is>
          <t>Registro de fechas de actualización por contraparte; indicador de actualizaciones vencidas.</t>
        </is>
      </c>
      <c r="G102" s="194" t="inlineStr">
        <is>
          <t>Oficial de Cumplimiento</t>
        </is>
      </c>
      <c r="H102" s="195" t="n">
        <v>3</v>
      </c>
      <c r="I102" s="196" t="n"/>
      <c r="J102" s="197">
        <f>IF(I102="","",IF(I102="No aplica","N/A",INDEX(Escala!$C$5:$C$9,MATCH(I102,Escala!$B$5:$B$9,0))))</f>
        <v/>
      </c>
      <c r="K102" s="124" t="n"/>
      <c r="L102" s="124" t="n"/>
      <c r="M102" s="124" t="n"/>
      <c r="N102" s="124" t="n"/>
      <c r="O102" s="198" t="n"/>
      <c r="P102" s="196" t="n"/>
      <c r="Q102" s="199">
        <f>IF(I102="No aplica",0,H102)</f>
        <v/>
      </c>
      <c r="R102" s="199">
        <f>IF(ISNUMBER(J102),J102*H102,0)</f>
        <v/>
      </c>
    </row>
    <row r="103" ht="49" customHeight="1">
      <c r="A103" s="188" t="inlineStr">
        <is>
          <t>S-91</t>
        </is>
      </c>
      <c r="B103" s="189" t="inlineStr">
        <is>
          <t>10. Debida diligencia</t>
        </is>
      </c>
      <c r="C103" s="190" t="inlineStr">
        <is>
          <t>9.15.1</t>
        </is>
      </c>
      <c r="D103" s="191" t="inlineStr">
        <is>
          <t>193</t>
        </is>
      </c>
      <c r="E103" s="192" t="inlineStr">
        <is>
          <t>Realizar la DD antes del negocio (excepcionalmente después, documentando); si no puede completarse, evaluar la continuidad de la relación y la procedencia de un ROS.</t>
        </is>
      </c>
      <c r="F103" s="193" t="inlineStr">
        <is>
          <t>Fechas de DD frente a fecha de contrato; justificación de excepciones.</t>
        </is>
      </c>
      <c r="G103" s="194" t="inlineStr">
        <is>
          <t>Áreas de vinculación / OC</t>
        </is>
      </c>
      <c r="H103" s="195" t="n">
        <v>3</v>
      </c>
      <c r="I103" s="196" t="n"/>
      <c r="J103" s="197">
        <f>IF(I103="","",IF(I103="No aplica","N/A",INDEX(Escala!$C$5:$C$9,MATCH(I103,Escala!$B$5:$B$9,0))))</f>
        <v/>
      </c>
      <c r="K103" s="124" t="n"/>
      <c r="L103" s="124" t="n"/>
      <c r="M103" s="124" t="n"/>
      <c r="N103" s="124" t="n"/>
      <c r="O103" s="198" t="n"/>
      <c r="P103" s="196" t="n"/>
      <c r="Q103" s="199">
        <f>IF(I103="No aplica",0,H103)</f>
        <v/>
      </c>
      <c r="R103" s="199">
        <f>IF(ISNUMBER(J103),J103*H103,0)</f>
        <v/>
      </c>
    </row>
    <row r="104" ht="49" customHeight="1">
      <c r="A104" s="188" t="inlineStr">
        <is>
          <t>S-92</t>
        </is>
      </c>
      <c r="B104" s="189" t="inlineStr">
        <is>
          <t>10. Debida diligencia</t>
        </is>
      </c>
      <c r="C104" s="190" t="inlineStr">
        <is>
          <t>9.15</t>
        </is>
      </c>
      <c r="D104" s="191" t="inlineStr">
        <is>
          <t>191</t>
        </is>
      </c>
      <c r="E104" s="192" t="inlineStr">
        <is>
          <t>Si no es posible identificar a la contraparte o su beneficiario final, el OC documenta las razones jurídicas y completa la DD tras la vinculación.</t>
        </is>
      </c>
      <c r="F104" s="193" t="inlineStr">
        <is>
          <t>Registro de casos excepcionales con su cierre.</t>
        </is>
      </c>
      <c r="G104" s="194" t="inlineStr">
        <is>
          <t>Oficial de Cumplimiento</t>
        </is>
      </c>
      <c r="H104" s="195" t="n">
        <v>2</v>
      </c>
      <c r="I104" s="196" t="n"/>
      <c r="J104" s="197">
        <f>IF(I104="","",IF(I104="No aplica","N/A",INDEX(Escala!$C$5:$C$9,MATCH(I104,Escala!$B$5:$B$9,0))))</f>
        <v/>
      </c>
      <c r="K104" s="124" t="n"/>
      <c r="L104" s="124" t="n"/>
      <c r="M104" s="124" t="n"/>
      <c r="N104" s="124" t="n"/>
      <c r="O104" s="198" t="n"/>
      <c r="P104" s="196" t="n"/>
      <c r="Q104" s="199">
        <f>IF(I104="No aplica",0,H104)</f>
        <v/>
      </c>
      <c r="R104" s="199">
        <f>IF(ISNUMBER(J104),J104*H104,0)</f>
        <v/>
      </c>
    </row>
    <row r="105" ht="49" customHeight="1">
      <c r="A105" s="188" t="inlineStr">
        <is>
          <t>S-93</t>
        </is>
      </c>
      <c r="B105" s="189" t="inlineStr">
        <is>
          <t>10. Debida diligencia</t>
        </is>
      </c>
      <c r="C105" s="190" t="inlineStr">
        <is>
          <t>9.15.1</t>
        </is>
      </c>
      <c r="D105" s="191" t="inlineStr">
        <is>
          <t>193</t>
        </is>
      </c>
      <c r="E105" s="192" t="inlineStr">
        <is>
          <t>Consultar permanentemente las Listas Vinculantes y, ante coincidencia, reportar de inmediato a la UIAF y a la Fiscalía General de la Nación.</t>
        </is>
      </c>
      <c r="F105" s="193" t="inlineStr">
        <is>
          <t>Evidencia de consultas (fecha y hora); procedimiento de reporte inmediato.</t>
        </is>
      </c>
      <c r="G105" s="194" t="inlineStr">
        <is>
          <t>Oficial de Cumplimiento</t>
        </is>
      </c>
      <c r="H105" s="195" t="n">
        <v>3</v>
      </c>
      <c r="I105" s="196" t="n"/>
      <c r="J105" s="197">
        <f>IF(I105="","",IF(I105="No aplica","N/A",INDEX(Escala!$C$5:$C$9,MATCH(I105,Escala!$B$5:$B$9,0))))</f>
        <v/>
      </c>
      <c r="K105" s="124" t="n"/>
      <c r="L105" s="124" t="n"/>
      <c r="M105" s="124" t="n"/>
      <c r="N105" s="124" t="n"/>
      <c r="O105" s="198" t="n"/>
      <c r="P105" s="196" t="n"/>
      <c r="Q105" s="199">
        <f>IF(I105="No aplica",0,H105)</f>
        <v/>
      </c>
      <c r="R105" s="199">
        <f>IF(ISNUMBER(J105),J105*H105,0)</f>
        <v/>
      </c>
    </row>
    <row r="106" ht="49" customHeight="1">
      <c r="A106" s="188" t="inlineStr">
        <is>
          <t>S-94</t>
        </is>
      </c>
      <c r="B106" s="189" t="inlineStr">
        <is>
          <t>10. Debida diligencia</t>
        </is>
      </c>
      <c r="C106" s="190" t="inlineStr">
        <is>
          <t>9.16.1</t>
        </is>
      </c>
      <c r="D106" s="191" t="inlineStr">
        <is>
          <t>194</t>
        </is>
      </c>
      <c r="E106" s="192" t="inlineStr">
        <is>
          <t>Operaciones en efectivo: definir su manejo y patrones de normalidad, de modo que las desviaciones sean señales de alerta.</t>
        </is>
      </c>
      <c r="F106" s="193" t="inlineStr">
        <is>
          <t>Política de efectivo con umbrales; reporte de desviaciones.</t>
        </is>
      </c>
      <c r="G106" s="194" t="inlineStr">
        <is>
          <t>Área financiera / OC</t>
        </is>
      </c>
      <c r="H106" s="195" t="n">
        <v>2</v>
      </c>
      <c r="I106" s="196" t="n"/>
      <c r="J106" s="197">
        <f>IF(I106="","",IF(I106="No aplica","N/A",INDEX(Escala!$C$5:$C$9,MATCH(I106,Escala!$B$5:$B$9,0))))</f>
        <v/>
      </c>
      <c r="K106" s="124" t="n"/>
      <c r="L106" s="124" t="n"/>
      <c r="M106" s="124" t="n"/>
      <c r="N106" s="124" t="n"/>
      <c r="O106" s="198" t="n"/>
      <c r="P106" s="196" t="n"/>
      <c r="Q106" s="199">
        <f>IF(I106="No aplica",0,H106)</f>
        <v/>
      </c>
      <c r="R106" s="199">
        <f>IF(ISNUMBER(J106),J106*H106,0)</f>
        <v/>
      </c>
    </row>
    <row r="107" ht="49" customHeight="1">
      <c r="A107" s="188" t="inlineStr">
        <is>
          <t>S-95</t>
        </is>
      </c>
      <c r="B107" s="189" t="inlineStr">
        <is>
          <t>10. Debida diligencia</t>
        </is>
      </c>
      <c r="C107" s="190" t="inlineStr">
        <is>
          <t>9.16.2-9.16.3</t>
        </is>
      </c>
      <c r="D107" s="191" t="inlineStr">
        <is>
          <t>194</t>
        </is>
      </c>
      <c r="E107" s="192" t="inlineStr">
        <is>
          <t>Ventas masivas o retail: umbrales proporcionales de DD y foco en operaciones inusuales. Activos virtuales: medidas razonables para identificar la contraparte y sus riesgos.</t>
        </is>
      </c>
      <c r="F107" s="193" t="inlineStr">
        <is>
          <t>Umbrales documentados; procedimiento de activos virtuales (o 'No aplica').</t>
        </is>
      </c>
      <c r="G107" s="194" t="inlineStr">
        <is>
          <t>Oficial de Cumplimiento</t>
        </is>
      </c>
      <c r="H107" s="195" t="n">
        <v>1</v>
      </c>
      <c r="I107" s="196" t="n"/>
      <c r="J107" s="197">
        <f>IF(I107="","",IF(I107="No aplica","N/A",INDEX(Escala!$C$5:$C$9,MATCH(I107,Escala!$B$5:$B$9,0))))</f>
        <v/>
      </c>
      <c r="K107" s="124" t="n"/>
      <c r="L107" s="124" t="n"/>
      <c r="M107" s="124" t="n"/>
      <c r="N107" s="124" t="n"/>
      <c r="O107" s="198" t="n"/>
      <c r="P107" s="196" t="n"/>
      <c r="Q107" s="199">
        <f>IF(I107="No aplica",0,H107)</f>
        <v/>
      </c>
      <c r="R107" s="199">
        <f>IF(ISNUMBER(J107),J107*H107,0)</f>
        <v/>
      </c>
    </row>
    <row r="108" ht="24" customHeight="1">
      <c r="A108" s="184" t="inlineStr">
        <is>
          <t>11  ·  Debida diligencia intensificada     (4 requisitos)</t>
        </is>
      </c>
      <c r="B108" s="185" t="n"/>
      <c r="C108" s="185" t="n"/>
      <c r="D108" s="185" t="n"/>
      <c r="E108" s="185" t="n"/>
      <c r="F108" s="185" t="n"/>
      <c r="G108" s="185" t="n"/>
      <c r="H108" s="185" t="n"/>
      <c r="I108" s="186" t="n"/>
      <c r="J108" s="187">
        <f>IFERROR(SUMIFS($R$7:$R$400,$B$7:$B$400,"11. Debida diligencia intensificada")/SUMIFS($Q$7:$Q$400,$B$7:$B$400,"11. Debida diligencia intensificada"),"N/A")</f>
        <v/>
      </c>
      <c r="K108" s="186" t="n"/>
      <c r="L108" s="186" t="n"/>
      <c r="M108" s="186" t="n"/>
      <c r="N108" s="186" t="n"/>
      <c r="O108" s="186" t="n"/>
      <c r="P108" s="186" t="n"/>
      <c r="Q108" s="108" t="n"/>
      <c r="R108" s="108" t="n"/>
    </row>
    <row r="109" ht="62" customHeight="1">
      <c r="A109" s="188" t="inlineStr">
        <is>
          <t>S-96</t>
        </is>
      </c>
      <c r="B109" s="189" t="inlineStr">
        <is>
          <t>11. Debida diligencia intensificada</t>
        </is>
      </c>
      <c r="C109" s="190" t="inlineStr">
        <is>
          <t>9.17</t>
        </is>
      </c>
      <c r="D109" s="191" t="inlineStr">
        <is>
          <t>194-195</t>
        </is>
      </c>
      <c r="E109" s="192" t="inlineStr">
        <is>
          <t>Aplicar DDI a contrapartes de mayor riesgo, PEP y ubicadas en países no cooperantes o de alto riesgo, examinando antecedentes y propósito de transacciones complejas o inusuales; también a quienes operen con activos virtuales (9.5.7).</t>
        </is>
      </c>
      <c r="F109" s="193" t="inlineStr">
        <is>
          <t>Procedimiento de DDI y listado de contrapartes sometidas a DDI.</t>
        </is>
      </c>
      <c r="G109" s="194" t="inlineStr">
        <is>
          <t>Oficial de Cumplimiento</t>
        </is>
      </c>
      <c r="H109" s="195" t="n">
        <v>3</v>
      </c>
      <c r="I109" s="196" t="n"/>
      <c r="J109" s="197">
        <f>IF(I109="","",IF(I109="No aplica","N/A",INDEX(Escala!$C$5:$C$9,MATCH(I109,Escala!$B$5:$B$9,0))))</f>
        <v/>
      </c>
      <c r="K109" s="124" t="n"/>
      <c r="L109" s="124" t="n"/>
      <c r="M109" s="124" t="n"/>
      <c r="N109" s="124" t="n"/>
      <c r="O109" s="198" t="n"/>
      <c r="P109" s="196" t="n"/>
      <c r="Q109" s="199">
        <f>IF(I109="No aplica",0,H109)</f>
        <v/>
      </c>
      <c r="R109" s="199">
        <f>IF(ISNUMBER(J109),J109*H109,0)</f>
        <v/>
      </c>
    </row>
    <row r="110" ht="75" customHeight="1">
      <c r="A110" s="188" t="inlineStr">
        <is>
          <t>S-97</t>
        </is>
      </c>
      <c r="B110" s="189" t="inlineStr">
        <is>
          <t>11. Debida diligencia intensificada</t>
        </is>
      </c>
      <c r="C110" s="190" t="inlineStr">
        <is>
          <t>9.17</t>
        </is>
      </c>
      <c r="D110" s="191" t="inlineStr">
        <is>
          <t>195</t>
        </is>
      </c>
      <c r="E110" s="192" t="inlineStr">
        <is>
          <t>La DDI a PEP se extiende a cónyuge o compañero, familiares (2.º consanguinidad, 1.º afinidad y 1.º civil), cuentas en el exterior, personas jurídicas o fiducias relacionadas y asociados cercanos; también a PEP que sean beneficiarios finales.</t>
        </is>
      </c>
      <c r="F110" s="193" t="inlineStr">
        <is>
          <t>Formato PEP con campos de vinculados y soporte de su verificación.</t>
        </is>
      </c>
      <c r="G110" s="194" t="inlineStr">
        <is>
          <t>Oficial de Cumplimiento</t>
        </is>
      </c>
      <c r="H110" s="195" t="n">
        <v>3</v>
      </c>
      <c r="I110" s="196" t="n"/>
      <c r="J110" s="197">
        <f>IF(I110="","",IF(I110="No aplica","N/A",INDEX(Escala!$C$5:$C$9,MATCH(I110,Escala!$B$5:$B$9,0))))</f>
        <v/>
      </c>
      <c r="K110" s="124" t="n"/>
      <c r="L110" s="124" t="n"/>
      <c r="M110" s="124" t="n"/>
      <c r="N110" s="124" t="n"/>
      <c r="O110" s="198" t="n"/>
      <c r="P110" s="196" t="n"/>
      <c r="Q110" s="199">
        <f>IF(I110="No aplica",0,H110)</f>
        <v/>
      </c>
      <c r="R110" s="199">
        <f>IF(ISNUMBER(J110),J110*H110,0)</f>
        <v/>
      </c>
    </row>
    <row r="111" ht="49" customHeight="1">
      <c r="A111" s="188" t="inlineStr">
        <is>
          <t>S-98</t>
        </is>
      </c>
      <c r="B111" s="189" t="inlineStr">
        <is>
          <t>11. Debida diligencia intensificada</t>
        </is>
      </c>
      <c r="C111" s="190" t="inlineStr">
        <is>
          <t>9.17</t>
        </is>
      </c>
      <c r="D111" s="191" t="inlineStr">
        <is>
          <t>195</t>
        </is>
      </c>
      <c r="E111" s="192" t="inlineStr">
        <is>
          <t>En DDI: adoptar medidas razonables para establecer el origen de los recursos y hacer un monitoreo continuo e intensificado (la aprobación de la alta gerencia se evalúa en S-32).</t>
        </is>
      </c>
      <c r="F111" s="193" t="inlineStr">
        <is>
          <t>Declaración o soportes de origen de fondos; frecuencia de monitoreo reforzada para contrapartes en DDI.</t>
        </is>
      </c>
      <c r="G111" s="194" t="inlineStr">
        <is>
          <t>RL / OC</t>
        </is>
      </c>
      <c r="H111" s="195" t="n">
        <v>3</v>
      </c>
      <c r="I111" s="196" t="n"/>
      <c r="J111" s="197">
        <f>IF(I111="","",IF(I111="No aplica","N/A",INDEX(Escala!$C$5:$C$9,MATCH(I111,Escala!$B$5:$B$9,0))))</f>
        <v/>
      </c>
      <c r="K111" s="124" t="n"/>
      <c r="L111" s="124" t="n"/>
      <c r="M111" s="124" t="n"/>
      <c r="N111" s="124" t="n"/>
      <c r="O111" s="198" t="n"/>
      <c r="P111" s="196" t="n"/>
      <c r="Q111" s="199">
        <f>IF(I111="No aplica",0,H111)</f>
        <v/>
      </c>
      <c r="R111" s="199">
        <f>IF(ISNUMBER(J111),J111*H111,0)</f>
        <v/>
      </c>
    </row>
    <row r="112" ht="36" customHeight="1">
      <c r="A112" s="188" t="inlineStr">
        <is>
          <t>S-99</t>
        </is>
      </c>
      <c r="B112" s="189" t="inlineStr">
        <is>
          <t>11. Debida diligencia intensificada</t>
        </is>
      </c>
      <c r="C112" s="190" t="inlineStr">
        <is>
          <t>9.17</t>
        </is>
      </c>
      <c r="D112" s="191" t="inlineStr">
        <is>
          <t>195</t>
        </is>
      </c>
      <c r="E112" s="192" t="inlineStr">
        <is>
          <t>Revisar permanentemente los listados del GAFI de países no cooperantes y jurisdicciones de alto riesgo.</t>
        </is>
      </c>
      <c r="F112" s="193" t="inlineStr">
        <is>
          <t>Registro de consultas a las listas del GAFI.</t>
        </is>
      </c>
      <c r="G112" s="194" t="inlineStr">
        <is>
          <t>Oficial de Cumplimiento</t>
        </is>
      </c>
      <c r="H112" s="195" t="n">
        <v>2</v>
      </c>
      <c r="I112" s="196" t="n"/>
      <c r="J112" s="197">
        <f>IF(I112="","",IF(I112="No aplica","N/A",INDEX(Escala!$C$5:$C$9,MATCH(I112,Escala!$B$5:$B$9,0))))</f>
        <v/>
      </c>
      <c r="K112" s="124" t="n"/>
      <c r="L112" s="124" t="n"/>
      <c r="M112" s="124" t="n"/>
      <c r="N112" s="124" t="n"/>
      <c r="O112" s="198" t="n"/>
      <c r="P112" s="196" t="n"/>
      <c r="Q112" s="199">
        <f>IF(I112="No aplica",0,H112)</f>
        <v/>
      </c>
      <c r="R112" s="199">
        <f>IF(ISNUMBER(J112),J112*H112,0)</f>
        <v/>
      </c>
    </row>
    <row r="113" ht="24" customHeight="1">
      <c r="A113" s="184" t="inlineStr">
        <is>
          <t>12  ·  Canal de denuncias y reporte de soborno transnacional     (7 requisitos)</t>
        </is>
      </c>
      <c r="B113" s="185" t="n"/>
      <c r="C113" s="185" t="n"/>
      <c r="D113" s="185" t="n"/>
      <c r="E113" s="185" t="n"/>
      <c r="F113" s="185" t="n"/>
      <c r="G113" s="185" t="n"/>
      <c r="H113" s="185" t="n"/>
      <c r="I113" s="186" t="n"/>
      <c r="J113" s="187">
        <f>IFERROR(SUMIFS($R$7:$R$400,$B$7:$B$400,"12. Canal de denuncias y reporte de soborno transnacional")/SUMIFS($Q$7:$Q$400,$B$7:$B$400,"12. Canal de denuncias y reporte de soborno transnacional"),"N/A")</f>
        <v/>
      </c>
      <c r="K113" s="186" t="n"/>
      <c r="L113" s="186" t="n"/>
      <c r="M113" s="186" t="n"/>
      <c r="N113" s="186" t="n"/>
      <c r="O113" s="186" t="n"/>
      <c r="P113" s="186" t="n"/>
      <c r="Q113" s="108" t="n"/>
      <c r="R113" s="108" t="n"/>
    </row>
    <row r="114" ht="62" customHeight="1">
      <c r="A114" s="188" t="inlineStr">
        <is>
          <t>S-100</t>
        </is>
      </c>
      <c r="B114" s="189" t="inlineStr">
        <is>
          <t>12. Canal de denuncias y reporte de soborno transnacional</t>
        </is>
      </c>
      <c r="C114" s="190" t="inlineStr">
        <is>
          <t>9.18.1</t>
        </is>
      </c>
      <c r="D114" s="191" t="inlineStr">
        <is>
          <t>195</t>
        </is>
      </c>
      <c r="E114" s="192" t="inlineStr">
        <is>
          <t>Canal de denuncias confidencial y anónimo para empleados, administradores, asociados, contratistas y cualquier persona, que permita reportar LA/FT/FP y C/ST e irregularidades del Sistema.</t>
        </is>
      </c>
      <c r="F114" s="193" t="inlineStr">
        <is>
          <t>Canal habilitado (web, línea, correo) con opción anónima.</t>
        </is>
      </c>
      <c r="G114" s="194" t="inlineStr">
        <is>
          <t>Oficial de Cumplimiento</t>
        </is>
      </c>
      <c r="H114" s="195" t="n">
        <v>3</v>
      </c>
      <c r="I114" s="196" t="n"/>
      <c r="J114" s="197">
        <f>IF(I114="","",IF(I114="No aplica","N/A",INDEX(Escala!$C$5:$C$9,MATCH(I114,Escala!$B$5:$B$9,0))))</f>
        <v/>
      </c>
      <c r="K114" s="124" t="n"/>
      <c r="L114" s="124" t="n"/>
      <c r="M114" s="124" t="n"/>
      <c r="N114" s="124" t="n"/>
      <c r="O114" s="198" t="n"/>
      <c r="P114" s="196" t="n"/>
      <c r="Q114" s="199">
        <f>IF(I114="No aplica",0,H114)</f>
        <v/>
      </c>
      <c r="R114" s="199">
        <f>IF(ISNUMBER(J114),J114*H114,0)</f>
        <v/>
      </c>
    </row>
    <row r="115" ht="36" customHeight="1">
      <c r="A115" s="188" t="inlineStr">
        <is>
          <t>S-101</t>
        </is>
      </c>
      <c r="B115" s="189" t="inlineStr">
        <is>
          <t>12. Canal de denuncias y reporte de soborno transnacional</t>
        </is>
      </c>
      <c r="C115" s="190" t="inlineStr">
        <is>
          <t>9.18.1</t>
        </is>
      </c>
      <c r="D115" s="191" t="inlineStr">
        <is>
          <t>195-196</t>
        </is>
      </c>
      <c r="E115" s="192" t="inlineStr">
        <is>
          <t>Componentes tecnológicos que garanticen la reserva de los datos del denunciante y de los hechos.</t>
        </is>
      </c>
      <c r="F115" s="193" t="inlineStr">
        <is>
          <t>Evidencia técnica (cifrado, acceso restringido, registro de accesos).</t>
        </is>
      </c>
      <c r="G115" s="194" t="inlineStr">
        <is>
          <t>OC / TI</t>
        </is>
      </c>
      <c r="H115" s="195" t="n">
        <v>2</v>
      </c>
      <c r="I115" s="196" t="n"/>
      <c r="J115" s="197">
        <f>IF(I115="","",IF(I115="No aplica","N/A",INDEX(Escala!$C$5:$C$9,MATCH(I115,Escala!$B$5:$B$9,0))))</f>
        <v/>
      </c>
      <c r="K115" s="124" t="n"/>
      <c r="L115" s="124" t="n"/>
      <c r="M115" s="124" t="n"/>
      <c r="N115" s="124" t="n"/>
      <c r="O115" s="198" t="n"/>
      <c r="P115" s="196" t="n"/>
      <c r="Q115" s="199">
        <f>IF(I115="No aplica",0,H115)</f>
        <v/>
      </c>
      <c r="R115" s="199">
        <f>IF(ISNUMBER(J115),J115*H115,0)</f>
        <v/>
      </c>
    </row>
    <row r="116" ht="49" customHeight="1">
      <c r="A116" s="188" t="inlineStr">
        <is>
          <t>S-102</t>
        </is>
      </c>
      <c r="B116" s="189" t="inlineStr">
        <is>
          <t>12. Canal de denuncias y reporte de soborno transnacional</t>
        </is>
      </c>
      <c r="C116" s="190" t="inlineStr">
        <is>
          <t>9.18.1; 9.9.5 m</t>
        </is>
      </c>
      <c r="D116" s="191" t="inlineStr">
        <is>
          <t>185; 196</t>
        </is>
      </c>
      <c r="E116" s="192" t="inlineStr">
        <is>
          <t>Medidas para que ningún denunciante sea objeto de represalias (integridad física y acoso laboral); el Oficial de Cumplimiento verifica la aplicación de esa protección.</t>
        </is>
      </c>
      <c r="F116" s="193" t="inlineStr">
        <is>
          <t>Política de protección al denunciante aprobada e informe de verificación del OC.</t>
        </is>
      </c>
      <c r="G116" s="194" t="inlineStr">
        <is>
          <t>Junta Directiva / Talento humano</t>
        </is>
      </c>
      <c r="H116" s="195" t="n">
        <v>3</v>
      </c>
      <c r="I116" s="196" t="n"/>
      <c r="J116" s="197">
        <f>IF(I116="","",IF(I116="No aplica","N/A",INDEX(Escala!$C$5:$C$9,MATCH(I116,Escala!$B$5:$B$9,0))))</f>
        <v/>
      </c>
      <c r="K116" s="124" t="n"/>
      <c r="L116" s="124" t="n"/>
      <c r="M116" s="124" t="n"/>
      <c r="N116" s="124" t="n"/>
      <c r="O116" s="198" t="n"/>
      <c r="P116" s="196" t="n"/>
      <c r="Q116" s="199">
        <f>IF(I116="No aplica",0,H116)</f>
        <v/>
      </c>
      <c r="R116" s="199">
        <f>IF(ISNUMBER(J116),J116*H116,0)</f>
        <v/>
      </c>
    </row>
    <row r="117" ht="49" customHeight="1">
      <c r="A117" s="188" t="inlineStr">
        <is>
          <t>S-103</t>
        </is>
      </c>
      <c r="B117" s="189" t="inlineStr">
        <is>
          <t>12. Canal de denuncias y reporte de soborno transnacional</t>
        </is>
      </c>
      <c r="C117" s="190" t="inlineStr">
        <is>
          <t>9.18.1</t>
        </is>
      </c>
      <c r="D117" s="191" t="inlineStr">
        <is>
          <t>196</t>
        </is>
      </c>
      <c r="E117" s="192" t="inlineStr">
        <is>
          <t>Procedimiento expedito de recepción, atención, seguimiento y verificación de la veracidad de las denuncias, con protocolo que incentive la denuncia.</t>
        </is>
      </c>
      <c r="F117" s="193" t="inlineStr">
        <is>
          <t>Procedimiento aprobado; bitácora de casos con tiempos de atención.</t>
        </is>
      </c>
      <c r="G117" s="194" t="inlineStr">
        <is>
          <t>Oficial de Cumplimiento</t>
        </is>
      </c>
      <c r="H117" s="195" t="n">
        <v>2</v>
      </c>
      <c r="I117" s="196" t="n"/>
      <c r="J117" s="197">
        <f>IF(I117="","",IF(I117="No aplica","N/A",INDEX(Escala!$C$5:$C$9,MATCH(I117,Escala!$B$5:$B$9,0))))</f>
        <v/>
      </c>
      <c r="K117" s="124" t="n"/>
      <c r="L117" s="124" t="n"/>
      <c r="M117" s="124" t="n"/>
      <c r="N117" s="124" t="n"/>
      <c r="O117" s="198" t="n"/>
      <c r="P117" s="196" t="n"/>
      <c r="Q117" s="199">
        <f>IF(I117="No aplica",0,H117)</f>
        <v/>
      </c>
      <c r="R117" s="199">
        <f>IF(ISNUMBER(J117),J117*H117,0)</f>
        <v/>
      </c>
    </row>
    <row r="118" ht="36" customHeight="1">
      <c r="A118" s="188" t="inlineStr">
        <is>
          <t>S-104</t>
        </is>
      </c>
      <c r="B118" s="189" t="inlineStr">
        <is>
          <t>12. Canal de denuncias y reporte de soborno transnacional</t>
        </is>
      </c>
      <c r="C118" s="190" t="inlineStr">
        <is>
          <t>9.18.1</t>
        </is>
      </c>
      <c r="D118" s="191" t="inlineStr">
        <is>
          <t>196</t>
        </is>
      </c>
      <c r="E118" s="192" t="inlineStr">
        <is>
          <t>Verificar de forma constante y periódica el funcionamiento del canal (p. ej., ausencia de denuncias) y fomentar su uso.</t>
        </is>
      </c>
      <c r="F118" s="193" t="inlineStr">
        <is>
          <t>Pruebas del canal, estadísticas y campañas de promoción.</t>
        </is>
      </c>
      <c r="G118" s="194" t="inlineStr">
        <is>
          <t>Oficial de Cumplimiento</t>
        </is>
      </c>
      <c r="H118" s="195" t="n">
        <v>2</v>
      </c>
      <c r="I118" s="196" t="n"/>
      <c r="J118" s="197">
        <f>IF(I118="","",IF(I118="No aplica","N/A",INDEX(Escala!$C$5:$C$9,MATCH(I118,Escala!$B$5:$B$9,0))))</f>
        <v/>
      </c>
      <c r="K118" s="124" t="n"/>
      <c r="L118" s="124" t="n"/>
      <c r="M118" s="124" t="n"/>
      <c r="N118" s="124" t="n"/>
      <c r="O118" s="198" t="n"/>
      <c r="P118" s="196" t="n"/>
      <c r="Q118" s="199">
        <f>IF(I118="No aplica",0,H118)</f>
        <v/>
      </c>
      <c r="R118" s="199">
        <f>IF(ISNUMBER(J118),J118*H118,0)</f>
        <v/>
      </c>
    </row>
    <row r="119" ht="36" customHeight="1">
      <c r="A119" s="188" t="inlineStr">
        <is>
          <t>S-105</t>
        </is>
      </c>
      <c r="B119" s="189" t="inlineStr">
        <is>
          <t>12. Canal de denuncias y reporte de soborno transnacional</t>
        </is>
      </c>
      <c r="C119" s="190" t="inlineStr">
        <is>
          <t>9.18.1</t>
        </is>
      </c>
      <c r="D119" s="191" t="inlineStr">
        <is>
          <t>196</t>
        </is>
      </c>
      <c r="E119" s="192" t="inlineStr">
        <is>
          <t>Divulgar los canales externos: Supersociedades (soborno transnacional) y Secretaría de Transparencia (corrupción).</t>
        </is>
      </c>
      <c r="F119" s="193" t="inlineStr">
        <is>
          <t>Publicación en web, intranet y capacitaciones.</t>
        </is>
      </c>
      <c r="G119" s="194" t="inlineStr">
        <is>
          <t>Oficial de Cumplimiento</t>
        </is>
      </c>
      <c r="H119" s="195" t="n">
        <v>2</v>
      </c>
      <c r="I119" s="196" t="n"/>
      <c r="J119" s="197">
        <f>IF(I119="","",IF(I119="No aplica","N/A",INDEX(Escala!$C$5:$C$9,MATCH(I119,Escala!$B$5:$B$9,0))))</f>
        <v/>
      </c>
      <c r="K119" s="124" t="n"/>
      <c r="L119" s="124" t="n"/>
      <c r="M119" s="124" t="n"/>
      <c r="N119" s="124" t="n"/>
      <c r="O119" s="198" t="n"/>
      <c r="P119" s="196" t="n"/>
      <c r="Q119" s="199">
        <f>IF(I119="No aplica",0,H119)</f>
        <v/>
      </c>
      <c r="R119" s="199">
        <f>IF(ISNUMBER(J119),J119*H119,0)</f>
        <v/>
      </c>
    </row>
    <row r="120" ht="36" customHeight="1">
      <c r="A120" s="188" t="inlineStr">
        <is>
          <t>S-106</t>
        </is>
      </c>
      <c r="B120" s="189" t="inlineStr">
        <is>
          <t>12. Canal de denuncias y reporte de soborno transnacional</t>
        </is>
      </c>
      <c r="C120" s="190" t="inlineStr">
        <is>
          <t>9.18.2</t>
        </is>
      </c>
      <c r="D120" s="191" t="inlineStr">
        <is>
          <t>196</t>
        </is>
      </c>
      <c r="E120" s="192" t="inlineStr">
        <is>
          <t>El revisor fiscal y el OC reportan a la Supersociedades los hechos que puedan constituir soborno transnacional.</t>
        </is>
      </c>
      <c r="F120" s="193" t="inlineStr">
        <is>
          <t>Procedimiento de reporte; constancias si aplica.</t>
        </is>
      </c>
      <c r="G120" s="194" t="inlineStr">
        <is>
          <t>OC / Revisor fiscal</t>
        </is>
      </c>
      <c r="H120" s="195" t="n">
        <v>2</v>
      </c>
      <c r="I120" s="196" t="n"/>
      <c r="J120" s="197">
        <f>IF(I120="","",IF(I120="No aplica","N/A",INDEX(Escala!$C$5:$C$9,MATCH(I120,Escala!$B$5:$B$9,0))))</f>
        <v/>
      </c>
      <c r="K120" s="124" t="n"/>
      <c r="L120" s="124" t="n"/>
      <c r="M120" s="124" t="n"/>
      <c r="N120" s="124" t="n"/>
      <c r="O120" s="198" t="n"/>
      <c r="P120" s="196" t="n"/>
      <c r="Q120" s="199">
        <f>IF(I120="No aplica",0,H120)</f>
        <v/>
      </c>
      <c r="R120" s="199">
        <f>IF(ISNUMBER(J120),J120*H120,0)</f>
        <v/>
      </c>
    </row>
    <row r="121" ht="24" customHeight="1">
      <c r="A121" s="184" t="inlineStr">
        <is>
          <t>13  ·  ROS, AROS y señales de alerta     (7 requisitos)</t>
        </is>
      </c>
      <c r="B121" s="185" t="n"/>
      <c r="C121" s="185" t="n"/>
      <c r="D121" s="185" t="n"/>
      <c r="E121" s="185" t="n"/>
      <c r="F121" s="185" t="n"/>
      <c r="G121" s="185" t="n"/>
      <c r="H121" s="185" t="n"/>
      <c r="I121" s="186" t="n"/>
      <c r="J121" s="187">
        <f>IFERROR(SUMIFS($R$7:$R$400,$B$7:$B$400,"13. ROS, AROS y señales de alerta")/SUMIFS($Q$7:$Q$400,$B$7:$B$400,"13. ROS, AROS y señales de alerta"),"N/A")</f>
        <v/>
      </c>
      <c r="K121" s="186" t="n"/>
      <c r="L121" s="186" t="n"/>
      <c r="M121" s="186" t="n"/>
      <c r="N121" s="186" t="n"/>
      <c r="O121" s="186" t="n"/>
      <c r="P121" s="186" t="n"/>
      <c r="Q121" s="108" t="n"/>
      <c r="R121" s="108" t="n"/>
    </row>
    <row r="122" ht="49" customHeight="1">
      <c r="A122" s="188" t="inlineStr">
        <is>
          <t>S-107</t>
        </is>
      </c>
      <c r="B122" s="189" t="inlineStr">
        <is>
          <t>13. ROS, AROS y señales de alerta</t>
        </is>
      </c>
      <c r="C122" s="190" t="inlineStr">
        <is>
          <t>9.19</t>
        </is>
      </c>
      <c r="D122" s="191" t="inlineStr">
        <is>
          <t>197</t>
        </is>
      </c>
      <c r="E122" s="192" t="inlineStr">
        <is>
          <t>Herramientas tecnológicas que consoliden información y generen indicadores y alertas para identificar operaciones inusuales y sospechosas.</t>
        </is>
      </c>
      <c r="F122" s="193" t="inlineStr">
        <is>
          <t>Herramienta o aplicativo de alertas funcionando; registro de alertas generadas y gestionadas.</t>
        </is>
      </c>
      <c r="G122" s="194" t="inlineStr">
        <is>
          <t>Oficial de Cumplimiento</t>
        </is>
      </c>
      <c r="H122" s="195" t="n">
        <v>3</v>
      </c>
      <c r="I122" s="196" t="n"/>
      <c r="J122" s="197">
        <f>IF(I122="","",IF(I122="No aplica","N/A",INDEX(Escala!$C$5:$C$9,MATCH(I122,Escala!$B$5:$B$9,0))))</f>
        <v/>
      </c>
      <c r="K122" s="124" t="n"/>
      <c r="L122" s="124" t="n"/>
      <c r="M122" s="124" t="n"/>
      <c r="N122" s="124" t="n"/>
      <c r="O122" s="198" t="n"/>
      <c r="P122" s="196" t="n"/>
      <c r="Q122" s="199">
        <f>IF(I122="No aplica",0,H122)</f>
        <v/>
      </c>
      <c r="R122" s="199">
        <f>IF(ISNUMBER(J122),J122*H122,0)</f>
        <v/>
      </c>
    </row>
    <row r="123" ht="36" customHeight="1">
      <c r="A123" s="188" t="inlineStr">
        <is>
          <t>S-108</t>
        </is>
      </c>
      <c r="B123" s="189" t="inlineStr">
        <is>
          <t>13. ROS, AROS y señales de alerta</t>
        </is>
      </c>
      <c r="C123" s="190" t="inlineStr">
        <is>
          <t>9.19</t>
        </is>
      </c>
      <c r="D123" s="191" t="inlineStr">
        <is>
          <t>197</t>
        </is>
      </c>
      <c r="E123" s="192" t="inlineStr">
        <is>
          <t>Conservar los soportes del análisis de cada operación inusual o sospechosa (art. 28 Ley 962 de 2005).</t>
        </is>
      </c>
      <c r="F123" s="193" t="inlineStr">
        <is>
          <t>Expedientes de análisis completos.</t>
        </is>
      </c>
      <c r="G123" s="194" t="inlineStr">
        <is>
          <t>Oficial de Cumplimiento</t>
        </is>
      </c>
      <c r="H123" s="195" t="n">
        <v>2</v>
      </c>
      <c r="I123" s="196" t="n"/>
      <c r="J123" s="197">
        <f>IF(I123="","",IF(I123="No aplica","N/A",INDEX(Escala!$C$5:$C$9,MATCH(I123,Escala!$B$5:$B$9,0))))</f>
        <v/>
      </c>
      <c r="K123" s="124" t="n"/>
      <c r="L123" s="124" t="n"/>
      <c r="M123" s="124" t="n"/>
      <c r="N123" s="124" t="n"/>
      <c r="O123" s="198" t="n"/>
      <c r="P123" s="196" t="n"/>
      <c r="Q123" s="199">
        <f>IF(I123="No aplica",0,H123)</f>
        <v/>
      </c>
      <c r="R123" s="199">
        <f>IF(ISNUMBER(J123),J123*H123,0)</f>
        <v/>
      </c>
    </row>
    <row r="124" ht="36" customHeight="1">
      <c r="A124" s="188" t="inlineStr">
        <is>
          <t>S-109</t>
        </is>
      </c>
      <c r="B124" s="189" t="inlineStr">
        <is>
          <t>13. ROS, AROS y señales de alerta</t>
        </is>
      </c>
      <c r="C124" s="190" t="inlineStr">
        <is>
          <t>9.19</t>
        </is>
      </c>
      <c r="D124" s="191" t="inlineStr">
        <is>
          <t>198</t>
        </is>
      </c>
      <c r="E124" s="192" t="inlineStr">
        <is>
          <t>Reportar de inmediato a la UIAF, vía SIREL, todas las operaciones sospechosas detectadas.</t>
        </is>
      </c>
      <c r="F124" s="193" t="inlineStr">
        <is>
          <t>Constancias de envío SIREL.</t>
        </is>
      </c>
      <c r="G124" s="194" t="inlineStr">
        <is>
          <t>Oficial de Cumplimiento</t>
        </is>
      </c>
      <c r="H124" s="195" t="n">
        <v>3</v>
      </c>
      <c r="I124" s="196" t="n"/>
      <c r="J124" s="197">
        <f>IF(I124="","",IF(I124="No aplica","N/A",INDEX(Escala!$C$5:$C$9,MATCH(I124,Escala!$B$5:$B$9,0))))</f>
        <v/>
      </c>
      <c r="K124" s="124" t="n"/>
      <c r="L124" s="124" t="n"/>
      <c r="M124" s="124" t="n"/>
      <c r="N124" s="124" t="n"/>
      <c r="O124" s="198" t="n"/>
      <c r="P124" s="196" t="n"/>
      <c r="Q124" s="199">
        <f>IF(I124="No aplica",0,H124)</f>
        <v/>
      </c>
      <c r="R124" s="199">
        <f>IF(ISNUMBER(J124),J124*H124,0)</f>
        <v/>
      </c>
    </row>
    <row r="125" ht="36" customHeight="1">
      <c r="A125" s="188" t="inlineStr">
        <is>
          <t>S-110</t>
        </is>
      </c>
      <c r="B125" s="189" t="inlineStr">
        <is>
          <t>13. ROS, AROS y señales de alerta</t>
        </is>
      </c>
      <c r="C125" s="190" t="inlineStr">
        <is>
          <t>9.19</t>
        </is>
      </c>
      <c r="D125" s="191" t="inlineStr">
        <is>
          <t>198</t>
        </is>
      </c>
      <c r="E125" s="192" t="inlineStr">
        <is>
          <t>OC principal y suplente registrados en SIREL con usuario propio.</t>
        </is>
      </c>
      <c r="F125" s="193" t="inlineStr">
        <is>
          <t>Usuario SIREL activo para ambos.</t>
        </is>
      </c>
      <c r="G125" s="194" t="inlineStr">
        <is>
          <t>Oficial de Cumplimiento</t>
        </is>
      </c>
      <c r="H125" s="195" t="n">
        <v>3</v>
      </c>
      <c r="I125" s="196" t="n"/>
      <c r="J125" s="197">
        <f>IF(I125="","",IF(I125="No aplica","N/A",INDEX(Escala!$C$5:$C$9,MATCH(I125,Escala!$B$5:$B$9,0))))</f>
        <v/>
      </c>
      <c r="K125" s="124" t="n"/>
      <c r="L125" s="124" t="n"/>
      <c r="M125" s="124" t="n"/>
      <c r="N125" s="124" t="n"/>
      <c r="O125" s="198" t="n"/>
      <c r="P125" s="196" t="n"/>
      <c r="Q125" s="199">
        <f>IF(I125="No aplica",0,H125)</f>
        <v/>
      </c>
      <c r="R125" s="199">
        <f>IF(ISNUMBER(J125),J125*H125,0)</f>
        <v/>
      </c>
    </row>
    <row r="126" ht="36" customHeight="1">
      <c r="A126" s="188" t="inlineStr">
        <is>
          <t>S-111</t>
        </is>
      </c>
      <c r="B126" s="189" t="inlineStr">
        <is>
          <t>13. ROS, AROS y señales de alerta</t>
        </is>
      </c>
      <c r="C126" s="190" t="inlineStr">
        <is>
          <t>9.19</t>
        </is>
      </c>
      <c r="D126" s="191" t="inlineStr">
        <is>
          <t>198</t>
        </is>
      </c>
      <c r="E126" s="192" t="inlineStr">
        <is>
          <t>Presentar el informe de ausencia de ROS (AROS) dentro de los 10 días calendario siguientes a cada trimestre sin ROS.</t>
        </is>
      </c>
      <c r="F126" s="193" t="inlineStr">
        <is>
          <t>Constancias trimestrales SIREL.</t>
        </is>
      </c>
      <c r="G126" s="194" t="inlineStr">
        <is>
          <t>Oficial de Cumplimiento</t>
        </is>
      </c>
      <c r="H126" s="195" t="n">
        <v>3</v>
      </c>
      <c r="I126" s="196" t="n"/>
      <c r="J126" s="197">
        <f>IF(I126="","",IF(I126="No aplica","N/A",INDEX(Escala!$C$5:$C$9,MATCH(I126,Escala!$B$5:$B$9,0))))</f>
        <v/>
      </c>
      <c r="K126" s="124" t="n"/>
      <c r="L126" s="124" t="n"/>
      <c r="M126" s="124" t="n"/>
      <c r="N126" s="124" t="n"/>
      <c r="O126" s="198" t="n"/>
      <c r="P126" s="196" t="n"/>
      <c r="Q126" s="199">
        <f>IF(I126="No aplica",0,H126)</f>
        <v/>
      </c>
      <c r="R126" s="199">
        <f>IF(ISNUMBER(J126),J126*H126,0)</f>
        <v/>
      </c>
    </row>
    <row r="127" ht="36" customHeight="1">
      <c r="A127" s="188" t="inlineStr">
        <is>
          <t>S-112</t>
        </is>
      </c>
      <c r="B127" s="189" t="inlineStr">
        <is>
          <t>13. ROS, AROS y señales de alerta</t>
        </is>
      </c>
      <c r="C127" s="190" t="inlineStr">
        <is>
          <t>9.19</t>
        </is>
      </c>
      <c r="D127" s="191" t="inlineStr">
        <is>
          <t>198</t>
        </is>
      </c>
      <c r="E127" s="192" t="inlineStr">
        <is>
          <t>Garantizar la reserva del ROS remitido a la UIAF (Ley 526 de 1999).</t>
        </is>
      </c>
      <c r="F127" s="193" t="inlineStr">
        <is>
          <t>Acceso restringido y cláusulas de confidencialidad.</t>
        </is>
      </c>
      <c r="G127" s="194" t="inlineStr">
        <is>
          <t>Oficial de Cumplimiento</t>
        </is>
      </c>
      <c r="H127" s="195" t="n">
        <v>2</v>
      </c>
      <c r="I127" s="196" t="n"/>
      <c r="J127" s="197">
        <f>IF(I127="","",IF(I127="No aplica","N/A",INDEX(Escala!$C$5:$C$9,MATCH(I127,Escala!$B$5:$B$9,0))))</f>
        <v/>
      </c>
      <c r="K127" s="124" t="n"/>
      <c r="L127" s="124" t="n"/>
      <c r="M127" s="124" t="n"/>
      <c r="N127" s="124" t="n"/>
      <c r="O127" s="198" t="n"/>
      <c r="P127" s="196" t="n"/>
      <c r="Q127" s="199">
        <f>IF(I127="No aplica",0,H127)</f>
        <v/>
      </c>
      <c r="R127" s="199">
        <f>IF(ISNUMBER(J127),J127*H127,0)</f>
        <v/>
      </c>
    </row>
    <row r="128" ht="62" customHeight="1">
      <c r="A128" s="188" t="inlineStr">
        <is>
          <t>S-113</t>
        </is>
      </c>
      <c r="B128" s="189" t="inlineStr">
        <is>
          <t>13. ROS, AROS y señales de alerta</t>
        </is>
      </c>
      <c r="C128" s="190" t="inlineStr">
        <is>
          <t>9.20</t>
        </is>
      </c>
      <c r="D128" s="191" t="inlineStr">
        <is>
          <t>198-200</t>
        </is>
      </c>
      <c r="E128" s="192" t="inlineStr">
        <is>
          <t>Construir señales de alerta propias según los factores de riesgo (contrapartes, medios de pago, registros contables, estructura societaria), considerando las de la Circular y los catálogos para APNFD.</t>
        </is>
      </c>
      <c r="F128" s="193" t="inlineStr">
        <is>
          <t>Catálogo propio de señales de alerta vinculado a la matriz.</t>
        </is>
      </c>
      <c r="G128" s="194" t="inlineStr">
        <is>
          <t>Oficial de Cumplimiento</t>
        </is>
      </c>
      <c r="H128" s="195" t="n">
        <v>2</v>
      </c>
      <c r="I128" s="196" t="n"/>
      <c r="J128" s="197">
        <f>IF(I128="","",IF(I128="No aplica","N/A",INDEX(Escala!$C$5:$C$9,MATCH(I128,Escala!$B$5:$B$9,0))))</f>
        <v/>
      </c>
      <c r="K128" s="124" t="n"/>
      <c r="L128" s="124" t="n"/>
      <c r="M128" s="124" t="n"/>
      <c r="N128" s="124" t="n"/>
      <c r="O128" s="198" t="n"/>
      <c r="P128" s="196" t="n"/>
      <c r="Q128" s="199">
        <f>IF(I128="No aplica",0,H128)</f>
        <v/>
      </c>
      <c r="R128" s="199">
        <f>IF(ISNUMBER(J128),J128*H128,0)</f>
        <v/>
      </c>
    </row>
    <row r="129" ht="24" customHeight="1">
      <c r="A129" s="184" t="inlineStr">
        <is>
          <t>14  ·  Conservación de la información     (3 requisitos)</t>
        </is>
      </c>
      <c r="B129" s="185" t="n"/>
      <c r="C129" s="185" t="n"/>
      <c r="D129" s="185" t="n"/>
      <c r="E129" s="185" t="n"/>
      <c r="F129" s="185" t="n"/>
      <c r="G129" s="185" t="n"/>
      <c r="H129" s="185" t="n"/>
      <c r="I129" s="186" t="n"/>
      <c r="J129" s="187">
        <f>IFERROR(SUMIFS($R$7:$R$400,$B$7:$B$400,"14. Conservación de la información")/SUMIFS($Q$7:$Q$400,$B$7:$B$400,"14. Conservación de la información"),"N/A")</f>
        <v/>
      </c>
      <c r="K129" s="186" t="n"/>
      <c r="L129" s="186" t="n"/>
      <c r="M129" s="186" t="n"/>
      <c r="N129" s="186" t="n"/>
      <c r="O129" s="186" t="n"/>
      <c r="P129" s="186" t="n"/>
      <c r="Q129" s="108" t="n"/>
      <c r="R129" s="108" t="n"/>
    </row>
    <row r="130" ht="62" customHeight="1">
      <c r="A130" s="188" t="inlineStr">
        <is>
          <t>S-114</t>
        </is>
      </c>
      <c r="B130" s="189" t="inlineStr">
        <is>
          <t>14. Conservación de la información</t>
        </is>
      </c>
      <c r="C130" s="190" t="inlineStr">
        <is>
          <t>9.22; 9.7.3 b.6</t>
        </is>
      </c>
      <c r="D130" s="191" t="inlineStr">
        <is>
          <t>179-180; 203</t>
        </is>
      </c>
      <c r="E130" s="192" t="inlineStr">
        <is>
          <t>Las actividades del Sistema reposan en documentos y registros que garantizan integridad, oportunidad, confiabilidad, reserva y disponibilidad, verificados por el Representante Legal.</t>
        </is>
      </c>
      <c r="F130" s="193" t="inlineStr">
        <is>
          <t>Repositorio con control de versiones, acceso por perfiles y respaldo; constancia de verificación periódica del RL.</t>
        </is>
      </c>
      <c r="G130" s="194" t="inlineStr">
        <is>
          <t>OC / RL</t>
        </is>
      </c>
      <c r="H130" s="195" t="n">
        <v>2</v>
      </c>
      <c r="I130" s="196" t="n"/>
      <c r="J130" s="197">
        <f>IF(I130="","",IF(I130="No aplica","N/A",INDEX(Escala!$C$5:$C$9,MATCH(I130,Escala!$B$5:$B$9,0))))</f>
        <v/>
      </c>
      <c r="K130" s="124" t="n"/>
      <c r="L130" s="124" t="n"/>
      <c r="M130" s="124" t="n"/>
      <c r="N130" s="124" t="n"/>
      <c r="O130" s="198" t="n"/>
      <c r="P130" s="196" t="n"/>
      <c r="Q130" s="199">
        <f>IF(I130="No aplica",0,H130)</f>
        <v/>
      </c>
      <c r="R130" s="199">
        <f>IF(ISNUMBER(J130),J130*H130,0)</f>
        <v/>
      </c>
    </row>
    <row r="131" ht="36" customHeight="1">
      <c r="A131" s="188" t="inlineStr">
        <is>
          <t>S-115</t>
        </is>
      </c>
      <c r="B131" s="189" t="inlineStr">
        <is>
          <t>14. Conservación de la información</t>
        </is>
      </c>
      <c r="C131" s="190" t="inlineStr">
        <is>
          <t>9.22</t>
        </is>
      </c>
      <c r="D131" s="191" t="inlineStr">
        <is>
          <t>203</t>
        </is>
      </c>
      <c r="E131" s="192" t="inlineStr">
        <is>
          <t>La información de DD y DDI queda documentada con el nombre de quien la verificó, fecha y hora.</t>
        </is>
      </c>
      <c r="F131" s="193" t="inlineStr">
        <is>
          <t>Registro con trazabilidad (quién y cuándo verificó).</t>
        </is>
      </c>
      <c r="G131" s="194" t="inlineStr">
        <is>
          <t>Oficial de Cumplimiento</t>
        </is>
      </c>
      <c r="H131" s="195" t="n">
        <v>3</v>
      </c>
      <c r="I131" s="196" t="n"/>
      <c r="J131" s="197">
        <f>IF(I131="","",IF(I131="No aplica","N/A",INDEX(Escala!$C$5:$C$9,MATCH(I131,Escala!$B$5:$B$9,0))))</f>
        <v/>
      </c>
      <c r="K131" s="124" t="n"/>
      <c r="L131" s="124" t="n"/>
      <c r="M131" s="124" t="n"/>
      <c r="N131" s="124" t="n"/>
      <c r="O131" s="198" t="n"/>
      <c r="P131" s="196" t="n"/>
      <c r="Q131" s="199">
        <f>IF(I131="No aplica",0,H131)</f>
        <v/>
      </c>
      <c r="R131" s="199">
        <f>IF(ISNUMBER(J131),J131*H131,0)</f>
        <v/>
      </c>
    </row>
    <row r="132" ht="49" customHeight="1">
      <c r="A132" s="188" t="inlineStr">
        <is>
          <t>S-116</t>
        </is>
      </c>
      <c r="B132" s="189" t="inlineStr">
        <is>
          <t>14. Conservación de la información</t>
        </is>
      </c>
      <c r="C132" s="190" t="inlineStr">
        <is>
          <t>9.22</t>
        </is>
      </c>
      <c r="D132" s="191" t="inlineStr">
        <is>
          <t>203</t>
        </is>
      </c>
      <c r="E132" s="192" t="inlineStr">
        <is>
          <t>Conservar los soportes según el art. 28 de la Ley 962 de 2005 (y par. 3 art. 12 Ley 2195/2022), respetando la protección de datos personales.</t>
        </is>
      </c>
      <c r="F132" s="193" t="inlineStr">
        <is>
          <t>Tabla de retención documental.</t>
        </is>
      </c>
      <c r="G132" s="194" t="inlineStr">
        <is>
          <t>Oficial de Cumplimiento</t>
        </is>
      </c>
      <c r="H132" s="195" t="n">
        <v>2</v>
      </c>
      <c r="I132" s="196" t="n"/>
      <c r="J132" s="197">
        <f>IF(I132="","",IF(I132="No aplica","N/A",INDEX(Escala!$C$5:$C$9,MATCH(I132,Escala!$B$5:$B$9,0))))</f>
        <v/>
      </c>
      <c r="K132" s="124" t="n"/>
      <c r="L132" s="124" t="n"/>
      <c r="M132" s="124" t="n"/>
      <c r="N132" s="124" t="n"/>
      <c r="O132" s="198" t="n"/>
      <c r="P132" s="196" t="n"/>
      <c r="Q132" s="199">
        <f>IF(I132="No aplica",0,H132)</f>
        <v/>
      </c>
      <c r="R132" s="199">
        <f>IF(ISNUMBER(J132),J132*H132,0)</f>
        <v/>
      </c>
    </row>
    <row r="133" ht="24" customHeight="1">
      <c r="A133" s="184" t="inlineStr">
        <is>
          <t>15  ·  Transición y permanencia     (3 requisitos)</t>
        </is>
      </c>
      <c r="B133" s="185" t="n"/>
      <c r="C133" s="185" t="n"/>
      <c r="D133" s="185" t="n"/>
      <c r="E133" s="185" t="n"/>
      <c r="F133" s="185" t="n"/>
      <c r="G133" s="185" t="n"/>
      <c r="H133" s="185" t="n"/>
      <c r="I133" s="186" t="n"/>
      <c r="J133" s="187">
        <f>IFERROR(SUMIFS($R$7:$R$400,$B$7:$B$400,"15. Transición y permanencia")/SUMIFS($Q$7:$Q$400,$B$7:$B$400,"15. Transición y permanencia"),"N/A")</f>
        <v/>
      </c>
      <c r="K133" s="186" t="n"/>
      <c r="L133" s="186" t="n"/>
      <c r="M133" s="186" t="n"/>
      <c r="N133" s="186" t="n"/>
      <c r="O133" s="186" t="n"/>
      <c r="P133" s="186" t="n"/>
      <c r="Q133" s="108" t="n"/>
      <c r="R133" s="108" t="n"/>
    </row>
    <row r="134" ht="49" customHeight="1">
      <c r="A134" s="188" t="inlineStr">
        <is>
          <t>S-117</t>
        </is>
      </c>
      <c r="B134" s="189" t="inlineStr">
        <is>
          <t>15. Transición y permanencia</t>
        </is>
      </c>
      <c r="C134" s="190" t="inlineStr">
        <is>
          <t>9.29</t>
        </is>
      </c>
      <c r="D134" s="191" t="inlineStr">
        <is>
          <t>206-207</t>
        </is>
      </c>
      <c r="E134" s="192" t="inlineStr">
        <is>
          <t>Si ya estaba obligado por las CE 100-000016/2020, 100-000011/2021 o 100-300000/2024: ajustar el Sistema al Capítulo IX a más tardar el 31 de mayo de 2027.</t>
        </is>
      </c>
      <c r="F134" s="193" t="inlineStr">
        <is>
          <t>Plan de transición con cronograma y acta de aprobación del Sistema unificado antes del 31/05/2027.</t>
        </is>
      </c>
      <c r="G134" s="194" t="inlineStr">
        <is>
          <t>Junta Directiva / RL / OC</t>
        </is>
      </c>
      <c r="H134" s="195" t="n">
        <v>3</v>
      </c>
      <c r="I134" s="196" t="n"/>
      <c r="J134" s="197">
        <f>IF(I134="","",IF(I134="No aplica","N/A",INDEX(Escala!$C$5:$C$9,MATCH(I134,Escala!$B$5:$B$9,0))))</f>
        <v/>
      </c>
      <c r="K134" s="124" t="n"/>
      <c r="L134" s="124" t="n"/>
      <c r="M134" s="124" t="n"/>
      <c r="N134" s="124" t="n"/>
      <c r="O134" s="198" t="n"/>
      <c r="P134" s="196" t="n"/>
      <c r="Q134" s="199">
        <f>IF(I134="No aplica",0,H134)</f>
        <v/>
      </c>
      <c r="R134" s="199">
        <f>IF(ISNUMBER(J134),J134*H134,0)</f>
        <v/>
      </c>
    </row>
    <row r="135" ht="49" customHeight="1">
      <c r="A135" s="188" t="inlineStr">
        <is>
          <t>S-118A</t>
        </is>
      </c>
      <c r="B135" s="189" t="inlineStr">
        <is>
          <t>15. Transición y permanencia</t>
        </is>
      </c>
      <c r="C135" s="190" t="inlineStr">
        <is>
          <t>9.28</t>
        </is>
      </c>
      <c r="D135" s="191" t="inlineStr">
        <is>
          <t>206</t>
        </is>
      </c>
      <c r="E135" s="192" t="inlineStr">
        <is>
          <t>Nuevos obligados: poner en marcha el Sistema a más tardar el 31 de mayo del año siguiente a aquel en que adquirieron la calidad de obligados.</t>
        </is>
      </c>
      <c r="F135" s="193" t="inlineStr">
        <is>
          <t>Acta de aprobación dentro del plazo (marcar 'No aplica' si ya estaba obligado antes).</t>
        </is>
      </c>
      <c r="G135" s="194" t="inlineStr">
        <is>
          <t>Junta Directiva / RL</t>
        </is>
      </c>
      <c r="H135" s="195" t="n">
        <v>2</v>
      </c>
      <c r="I135" s="196" t="n"/>
      <c r="J135" s="197">
        <f>IF(I135="","",IF(I135="No aplica","N/A",INDEX(Escala!$C$5:$C$9,MATCH(I135,Escala!$B$5:$B$9,0))))</f>
        <v/>
      </c>
      <c r="K135" s="124" t="n"/>
      <c r="L135" s="124" t="n"/>
      <c r="M135" s="124" t="n"/>
      <c r="N135" s="124" t="n"/>
      <c r="O135" s="198" t="n"/>
      <c r="P135" s="196" t="n"/>
      <c r="Q135" s="199">
        <f>IF(I135="No aplica",0,H135)</f>
        <v/>
      </c>
      <c r="R135" s="199">
        <f>IF(ISNUMBER(J135),J135*H135,0)</f>
        <v/>
      </c>
    </row>
    <row r="136" ht="36" customHeight="1">
      <c r="A136" s="188" t="inlineStr">
        <is>
          <t>S-118B</t>
        </is>
      </c>
      <c r="B136" s="189" t="inlineStr">
        <is>
          <t>15. Transición y permanencia</t>
        </is>
      </c>
      <c r="C136" s="190" t="inlineStr">
        <is>
          <t>9.30</t>
        </is>
      </c>
      <c r="D136" s="191" t="inlineStr">
        <is>
          <t>207</t>
        </is>
      </c>
      <c r="E136" s="192" t="inlineStr">
        <is>
          <t>Si deja de cumplir los umbrales, mantener el Sistema por 2 años adicionales; vigilar los umbrales cada año.</t>
        </is>
      </c>
      <c r="F136" s="193" t="inlineStr">
        <is>
          <t>Revisión anual de umbrales al cierre contable.</t>
        </is>
      </c>
      <c r="G136" s="194" t="inlineStr">
        <is>
          <t>Oficial de Cumplimiento</t>
        </is>
      </c>
      <c r="H136" s="195" t="n">
        <v>1</v>
      </c>
      <c r="I136" s="196" t="n"/>
      <c r="J136" s="197">
        <f>IF(I136="","",IF(I136="No aplica","N/A",INDEX(Escala!$C$5:$C$9,MATCH(I136,Escala!$B$5:$B$9,0))))</f>
        <v/>
      </c>
      <c r="K136" s="124" t="n"/>
      <c r="L136" s="124" t="n"/>
      <c r="M136" s="124" t="n"/>
      <c r="N136" s="124" t="n"/>
      <c r="O136" s="198" t="n"/>
      <c r="P136" s="196" t="n"/>
      <c r="Q136" s="199">
        <f>IF(I136="No aplica",0,H136)</f>
        <v/>
      </c>
      <c r="R136" s="199">
        <f>IF(ISNUMBER(J136),J136*H136,0)</f>
        <v/>
      </c>
    </row>
  </sheetData>
  <autoFilter ref="A6:P136"/>
  <mergeCells count="20">
    <mergeCell ref="A48:H48"/>
    <mergeCell ref="A92:H92"/>
    <mergeCell ref="A73:H73"/>
    <mergeCell ref="A4:P4"/>
    <mergeCell ref="A79:H79"/>
    <mergeCell ref="A7:H7"/>
    <mergeCell ref="A25:H25"/>
    <mergeCell ref="A108:H108"/>
    <mergeCell ref="A133:H133"/>
    <mergeCell ref="A113:H113"/>
    <mergeCell ref="A129:H129"/>
    <mergeCell ref="A42:H42"/>
    <mergeCell ref="I5:J5"/>
    <mergeCell ref="A14:H14"/>
    <mergeCell ref="A5:H5"/>
    <mergeCell ref="K5:P5"/>
    <mergeCell ref="A63:H63"/>
    <mergeCell ref="A121:H121"/>
    <mergeCell ref="A3:P3"/>
    <mergeCell ref="A34:H34"/>
  </mergeCells>
  <conditionalFormatting sqref="O8:O13 O15:O24 O26:O33 O35:O41 O43:O47 O49:O62 O64:O72 O74:O78 O80:O91 O93:O107 O109:O112 O114:O120 O122:O128 O130:O132 O134:O136">
    <cfRule type="expression" priority="1" dxfId="8" stopIfTrue="1">
      <formula>AND(ISNUMBER(O8),O8&lt;TODAY(),P8&lt;&gt;"Cerrada")</formula>
    </cfRule>
    <cfRule type="expression" priority="2" dxfId="9" stopIfTrue="1">
      <formula>AND(ISNUMBER(O8),O8&gt;DATE(2027,5,31))</formula>
    </cfRule>
  </conditionalFormatting>
  <conditionalFormatting sqref="P8:P13 P15:P24 P26:P33 P35:P41 P43:P47 P49:P62 P64:P72 P74:P78 P80:P91 P93:P107 P109:P112 P114:P120 P122:P128 P130:P132 P134:P136">
    <cfRule type="expression" priority="3" dxfId="10">
      <formula>P8="Cerrada"</formula>
    </cfRule>
    <cfRule type="expression" priority="4" dxfId="11">
      <formula>P8="En curso"</formula>
    </cfRule>
    <cfRule type="expression" priority="5" dxfId="12">
      <formula>P8="Pendiente"</formula>
    </cfRule>
  </conditionalFormatting>
  <conditionalFormatting sqref="I8:I13 I15:I24 I26:I33 I35:I41 I43:I47 I49:I62 I64:I72 I74:I78 I80:I91 I93:I107 I109:I112 I114:I120 I122:I128 I130:I132 I134:I136">
    <cfRule type="expression" priority="6" dxfId="10">
      <formula>I8="Cumple totalmente"</formula>
    </cfRule>
    <cfRule type="expression" priority="7" dxfId="13">
      <formula>I8="Cumple en gran medida"</formula>
    </cfRule>
    <cfRule type="expression" priority="8" dxfId="11">
      <formula>I8="Cumple parcialmente"</formula>
    </cfRule>
    <cfRule type="expression" priority="9" dxfId="9">
      <formula>I8="Cumplimiento incipiente"</formula>
    </cfRule>
    <cfRule type="expression" priority="10" dxfId="8">
      <formula>I8="No cumple"</formula>
    </cfRule>
    <cfRule type="expression" priority="11" dxfId="14">
      <formula>I8="No aplica"</formula>
    </cfRule>
  </conditionalFormatting>
  <conditionalFormatting sqref="J8:J13 J15:J24 J26:J33 J35:J41 J43:J47 J49:J62 J64:J72 J74:J78 J80:J91 J93:J107 J109:J112 J114:J120 J122:J128 J130:J132 J134:J136">
    <cfRule type="expression" priority="12" dxfId="4" stopIfTrue="1">
      <formula>AND(ISNUMBER(J8),J8&gt;=Escala!$C$14)</formula>
    </cfRule>
    <cfRule type="expression" priority="13" dxfId="5" stopIfTrue="1">
      <formula>AND(ISNUMBER(J8),J8&gt;=Escala!$C$15)</formula>
    </cfRule>
    <cfRule type="expression" priority="14" dxfId="6" stopIfTrue="1">
      <formula>AND(ISNUMBER(J8),J8&gt;=Escala!$C$16)</formula>
    </cfRule>
    <cfRule type="expression" priority="15" dxfId="7" stopIfTrue="1">
      <formula>ISNUMBER(J8)</formula>
    </cfRule>
    <cfRule type="dataBar" priority="16">
      <dataBar showValue="1">
        <cfvo type="num" val="0"/>
        <cfvo type="num" val="1"/>
        <color rgb="FFE3B8B2"/>
      </dataBar>
    </cfRule>
  </conditionalFormatting>
  <conditionalFormatting sqref="A7:H136 K7:P136">
    <cfRule type="expression" priority="17" dxfId="15">
      <formula>$I7="No aplica"</formula>
    </cfRule>
  </conditionalFormatting>
  <dataValidations count="3">
    <dataValidation sqref="I8:I13 I15:I24 I26:I33 I35:I41 I43:I47 I49:I62 I64:I72 I74:I78 I80:I91 I93:I107 I109:I112 I114:I120 I122:I128 I130:I132 I134:I136" showDropDown="0" showInputMessage="0" showErrorMessage="1" allowBlank="1" errorTitle="Estado no válido" error="Seleccione un estado de la lista." type="list">
      <formula1>=Escala!$B$5:$B$10</formula1>
    </dataValidation>
    <dataValidation sqref="H8:H13 H15:H24 H26:H33 H35:H41 H43:H47 H49:H62 H64:H72 H74:H78 H80:H91 H93:H107 H109:H112 H114:H120 H122:H128 H130:H132 H134:H136" showDropDown="0" showInputMessage="0" showErrorMessage="1" allowBlank="0" errorTitle="Peso no válido" error="El peso debe ser 0, 1, 2 o 3 (0 = recomendación, no suma al %)." type="whole" operator="between">
      <formula1>0</formula1>
      <formula2>3</formula2>
    </dataValidation>
    <dataValidation sqref="P8:P13 P15:P24 P26:P33 P35:P41 P43:P47 P49:P62 P64:P72 P74:P78 P80:P91 P93:P107 P109:P112 P114:P120 P122:P128 P130:P132 P134:P136" showDropDown="0" showInputMessage="0" showErrorMessage="1" allowBlank="1" errorTitle="Estado no válido" error="Seleccione Pendiente, En curso o Cerrada." type="list">
      <formula1>=Escala!$I$5:$I$7</formula1>
    </dataValidation>
  </dataValidations>
  <pageMargins left="0.75" right="0.75" top="1" bottom="1" header="0.5" footer="0.5"/>
  <pageSetup orientation="landscape" fitToHeight="0" fitToWidth="1"/>
  <headerFooter>
    <oddHeader>&amp;L&amp;"Georgia,Bold"&amp;KA12B22Criterio Compliance&amp;R&amp;K57534A&amp;A</oddHeader>
    <oddFooter>&amp;L&amp;8 &amp;K57534Acriteriocompliance.com · Herramienta orientativa: no reemplaza la asesoría profesional&amp;R&amp;8 Pág. &amp;P de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A12B22"/>
    <outlinePr summaryBelow="1" summaryRight="1"/>
    <pageSetUpPr fitToPage="1"/>
  </sheetPr>
  <dimension ref="A1:R35"/>
  <sheetViews>
    <sheetView showGridLines="0" zoomScale="90" workbookViewId="0">
      <pane xSplit="5" ySplit="6" topLeftCell="F7"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hidden="1" width="20" customWidth="1" min="2" max="2"/>
    <col width="10" customWidth="1" min="3" max="3"/>
    <col width="7" customWidth="1" min="4" max="4"/>
    <col width="56" customWidth="1" min="5" max="5"/>
    <col width="44" customWidth="1" min="6" max="6"/>
    <col width="15" customWidth="1" min="7" max="7"/>
    <col width="6" customWidth="1" min="8" max="8"/>
    <col width="23" customWidth="1" min="9" max="9"/>
    <col width="11" customWidth="1" min="10" max="10"/>
    <col width="32" customWidth="1" min="11" max="11"/>
    <col width="28" customWidth="1" min="12" max="12"/>
    <col width="32" customWidth="1" min="13" max="13"/>
    <col width="15" customWidth="1" min="14" max="14"/>
    <col width="12" customWidth="1" min="15" max="15"/>
    <col width="13" customWidth="1" min="16" max="16"/>
    <col hidden="1" width="8" customWidth="1" min="17" max="17"/>
    <col hidden="1" width="8" customWidth="1" min="18" max="18"/>
  </cols>
  <sheetData>
    <row r="1">
      <c r="A1" s="177" t="inlineStr">
        <is>
          <t>Matriz de cumplimiento · Régimen de Medidas Mínimas (RMM)</t>
        </is>
      </c>
      <c r="B1" s="108" t="n"/>
      <c r="C1" s="108" t="n"/>
      <c r="D1" s="108" t="n"/>
      <c r="E1" s="108" t="n"/>
      <c r="F1" s="108" t="n"/>
      <c r="G1" s="108" t="n"/>
      <c r="H1" s="108" t="n"/>
      <c r="I1" s="108" t="n"/>
      <c r="J1" s="108" t="n"/>
      <c r="K1" s="108" t="n"/>
      <c r="L1" s="108" t="n"/>
      <c r="M1" s="108" t="n"/>
      <c r="N1" s="108" t="n"/>
      <c r="O1" s="108" t="n"/>
      <c r="P1" s="108" t="n"/>
      <c r="Q1" s="108" t="n"/>
      <c r="R1" s="108" t="n"/>
    </row>
    <row r="2">
      <c r="A2" s="112" t="inlineStr">
        <is>
          <t>Fuente: Circular Externa 100-000020 del 2 de julio de 2026 (Supersociedades), Capítulo IX de la Circular Básica Jurídica · 'Pág.' = página de la Circular · diligencie solo las celdas amarillas.</t>
        </is>
      </c>
      <c r="B2" s="108" t="n"/>
      <c r="C2" s="108" t="n"/>
      <c r="D2" s="108" t="n"/>
      <c r="E2" s="108" t="n"/>
      <c r="F2" s="108" t="n"/>
      <c r="G2" s="108" t="n"/>
      <c r="H2" s="108" t="n"/>
      <c r="I2" s="108" t="n"/>
      <c r="J2" s="108" t="n"/>
      <c r="K2" s="108" t="n"/>
      <c r="L2" s="108" t="n"/>
      <c r="M2" s="108" t="n"/>
      <c r="N2" s="108" t="n"/>
      <c r="O2" s="108" t="n"/>
      <c r="P2" s="108" t="n"/>
      <c r="Q2" s="108" t="n"/>
      <c r="R2" s="108" t="n"/>
    </row>
    <row r="3" ht="26" customHeight="1">
      <c r="A3" s="178">
        <f>"Cumplimiento global: "&amp;IFERROR(TEXT(SUM($R$7:$R$400)/SUM($Q$7:$Q$400),"0%"),"N/A")&amp;"     ·     Requisitos calificados: "&amp;(COUNTIFS($B$7:$B$400,"?*",$I$7:$I$400,"?*")-COUNTIF($I$7:$I$400,"No aplica"))&amp;" de "&amp;(COUNTIF($B$7:$B$400,"?*")-COUNTIF($I$7:$I$400,"No aplica"))&amp;"     ·     Críticos (peso 3) por debajo de 50%: "&amp;COUNTIFS($H$7:$H$400,3,$J$7:$J$400,"&lt;"&amp;0.5)&amp;"     ·     Acciones vencidas sin cerrar: "&amp;COUNTIFS($O$7:$O$400,"&lt;"&amp;TODAY(),$P$7:$P$400,"&lt;&gt;Cerrada")&amp;"     ·     Fechas después del 31/05/2027: "&amp;COUNTIF($O$7:$O$400,"&gt;"&amp;DATE(2027,5,31))</f>
        <v/>
      </c>
      <c r="B3" s="108" t="n"/>
      <c r="C3" s="108" t="n"/>
      <c r="D3" s="108" t="n"/>
      <c r="E3" s="108" t="n"/>
      <c r="F3" s="108" t="n"/>
      <c r="G3" s="108" t="n"/>
      <c r="H3" s="108" t="n"/>
      <c r="I3" s="108" t="n"/>
      <c r="J3" s="108" t="n"/>
      <c r="K3" s="108" t="n"/>
      <c r="L3" s="108" t="n"/>
      <c r="M3" s="108" t="n"/>
      <c r="N3" s="108" t="n"/>
      <c r="O3" s="108" t="n"/>
      <c r="P3" s="108" t="n"/>
      <c r="Q3" s="108" t="n"/>
      <c r="R3" s="108" t="n"/>
    </row>
    <row r="4">
      <c r="A4" s="129" t="inlineStr">
        <is>
          <t>Criterio Compliance · criteriocompliance.com   ·   Herramienta orientativa de autodiagnóstico. No reemplaza la asesoría de un profesional ni constituye una certificación de cumplimiento.</t>
        </is>
      </c>
      <c r="Q4" s="108" t="n"/>
      <c r="R4" s="108" t="n"/>
    </row>
    <row r="5" ht="18" customHeight="1">
      <c r="A5" s="148" t="inlineStr">
        <is>
          <t>REQUISITO DE LA CIRCULAR</t>
        </is>
      </c>
      <c r="B5" s="108" t="n"/>
      <c r="C5" s="108" t="n"/>
      <c r="D5" s="108" t="n"/>
      <c r="E5" s="108" t="n"/>
      <c r="F5" s="108" t="n"/>
      <c r="G5" s="108" t="n"/>
      <c r="H5" s="108" t="n"/>
      <c r="I5" s="179" t="inlineStr">
        <is>
          <t>EVALUACIÓN</t>
        </is>
      </c>
      <c r="J5" s="108" t="n"/>
      <c r="K5" s="161" t="inlineStr">
        <is>
          <t>PLAN DE ACCIÓN</t>
        </is>
      </c>
      <c r="L5" s="108" t="n"/>
      <c r="M5" s="108" t="n"/>
      <c r="N5" s="108" t="n"/>
      <c r="O5" s="108" t="n"/>
      <c r="P5" s="108" t="n"/>
      <c r="Q5" s="108" t="n"/>
      <c r="R5" s="108" t="n"/>
    </row>
    <row r="6" ht="30" customHeight="1">
      <c r="A6" s="180" t="inlineStr">
        <is>
          <t>ID</t>
        </is>
      </c>
      <c r="B6" s="180" t="inlineStr">
        <is>
          <t>Componente</t>
        </is>
      </c>
      <c r="C6" s="180" t="inlineStr">
        <is>
          <t>Numeral</t>
        </is>
      </c>
      <c r="D6" s="180" t="inlineStr">
        <is>
          <t>Pág.</t>
        </is>
      </c>
      <c r="E6" s="180" t="inlineStr">
        <is>
          <t>Requisito</t>
        </is>
      </c>
      <c r="F6" s="180" t="inlineStr">
        <is>
          <t>Cómo se cumple / evidencia esperada</t>
        </is>
      </c>
      <c r="G6" s="180" t="inlineStr">
        <is>
          <t>Responsable</t>
        </is>
      </c>
      <c r="H6" s="180" t="inlineStr">
        <is>
          <t>Peso</t>
        </is>
      </c>
      <c r="I6" s="181" t="inlineStr">
        <is>
          <t>Estado de cumplimiento</t>
        </is>
      </c>
      <c r="J6" s="181" t="inlineStr">
        <is>
          <t>% cumpl.</t>
        </is>
      </c>
      <c r="K6" s="182" t="inlineStr">
        <is>
          <t>Evidencia revisada / justificación</t>
        </is>
      </c>
      <c r="L6" s="182" t="inlineStr">
        <is>
          <t>Brecha identificada</t>
        </is>
      </c>
      <c r="M6" s="182" t="inlineStr">
        <is>
          <t>Acción de mejora</t>
        </is>
      </c>
      <c r="N6" s="182" t="inlineStr">
        <is>
          <t>Responsable</t>
        </is>
      </c>
      <c r="O6" s="182" t="inlineStr">
        <is>
          <t>Fecha compromiso</t>
        </is>
      </c>
      <c r="P6" s="182" t="inlineStr">
        <is>
          <t>Estado de la acción</t>
        </is>
      </c>
      <c r="Q6" s="183" t="inlineStr">
        <is>
          <t>Peso aplicable</t>
        </is>
      </c>
      <c r="R6" s="183" t="inlineStr">
        <is>
          <t>Puntaje</t>
        </is>
      </c>
    </row>
    <row r="7" ht="24" customHeight="1">
      <c r="A7" s="184" t="inlineStr">
        <is>
          <t>01  ·  Análisis de riesgo y responsable     (2 requisitos)</t>
        </is>
      </c>
      <c r="B7" s="185" t="n"/>
      <c r="C7" s="185" t="n"/>
      <c r="D7" s="185" t="n"/>
      <c r="E7" s="185" t="n"/>
      <c r="F7" s="185" t="n"/>
      <c r="G7" s="185" t="n"/>
      <c r="H7" s="185" t="n"/>
      <c r="I7" s="186" t="n"/>
      <c r="J7" s="187">
        <f>IFERROR(SUMIFS($R$7:$R$400,$B$7:$B$400,"01. Análisis de riesgo y responsable")/SUMIFS($Q$7:$Q$400,$B$7:$B$400,"01. Análisis de riesgo y responsable"),"N/A")</f>
        <v/>
      </c>
      <c r="K7" s="186" t="n"/>
      <c r="L7" s="186" t="n"/>
      <c r="M7" s="186" t="n"/>
      <c r="N7" s="186" t="n"/>
      <c r="O7" s="186" t="n"/>
      <c r="P7" s="186" t="n"/>
      <c r="Q7" s="108" t="n"/>
      <c r="R7" s="108" t="n"/>
    </row>
    <row r="8" ht="62" customHeight="1">
      <c r="A8" s="188" t="inlineStr">
        <is>
          <t>R-01</t>
        </is>
      </c>
      <c r="B8" s="189" t="inlineStr">
        <is>
          <t>01. Análisis de riesgo y responsable</t>
        </is>
      </c>
      <c r="C8" s="190" t="inlineStr">
        <is>
          <t>9.21</t>
        </is>
      </c>
      <c r="D8" s="191" t="inlineStr">
        <is>
          <t>200</t>
        </is>
      </c>
      <c r="E8" s="192" t="inlineStr">
        <is>
          <t>Analizar los riesgos LA/FT/FP y C/ST considerando materialidad, tipo de negocio, operación, tamaño, áreas geográficas, países y perfil de contrapartes, apoyándose en tipologías (UIAF, GAFI, GAFILAT, OEA, UNODC, OCDE, etc.).</t>
        </is>
      </c>
      <c r="F8" s="193" t="inlineStr">
        <is>
          <t>Documento de análisis de riesgos del negocio con fuentes citadas.</t>
        </is>
      </c>
      <c r="G8" s="194" t="inlineStr">
        <is>
          <t>Representante Legal</t>
        </is>
      </c>
      <c r="H8" s="195" t="n">
        <v>3</v>
      </c>
      <c r="I8" s="196" t="n"/>
      <c r="J8" s="197">
        <f>IF(I8="","",IF(I8="No aplica","N/A",INDEX(Escala!$C$5:$C$9,MATCH(I8,Escala!$B$5:$B$9,0))))</f>
        <v/>
      </c>
      <c r="K8" s="124" t="n"/>
      <c r="L8" s="124" t="n"/>
      <c r="M8" s="124" t="n"/>
      <c r="N8" s="124" t="n"/>
      <c r="O8" s="198" t="n"/>
      <c r="P8" s="196" t="n"/>
      <c r="Q8" s="199">
        <f>IF(I8="No aplica",0,H8)</f>
        <v/>
      </c>
      <c r="R8" s="199">
        <f>IF(ISNUMBER(J8),J8*H8,0)</f>
        <v/>
      </c>
    </row>
    <row r="9" ht="49" customHeight="1">
      <c r="A9" s="188" t="inlineStr">
        <is>
          <t>R-02</t>
        </is>
      </c>
      <c r="B9" s="189" t="inlineStr">
        <is>
          <t>01. Análisis de riesgo y responsable</t>
        </is>
      </c>
      <c r="C9" s="190" t="inlineStr">
        <is>
          <t>9.21</t>
        </is>
      </c>
      <c r="D9" s="191" t="inlineStr">
        <is>
          <t>201</t>
        </is>
      </c>
      <c r="E9" s="192" t="inlineStr">
        <is>
          <t>El Representante Legal es el responsable de ejecutar, verificar y supervisar el RMM, y responde oportunamente los requerimientos de la Supersociedades.</t>
        </is>
      </c>
      <c r="F9" s="193" t="inlineStr">
        <is>
          <t>Asignación formal de la responsabilidad; registro de requerimientos y respuestas.</t>
        </is>
      </c>
      <c r="G9" s="194" t="inlineStr">
        <is>
          <t>Representante Legal</t>
        </is>
      </c>
      <c r="H9" s="195" t="n">
        <v>2</v>
      </c>
      <c r="I9" s="196" t="n"/>
      <c r="J9" s="197">
        <f>IF(I9="","",IF(I9="No aplica","N/A",INDEX(Escala!$C$5:$C$9,MATCH(I9,Escala!$B$5:$B$9,0))))</f>
        <v/>
      </c>
      <c r="K9" s="124" t="n"/>
      <c r="L9" s="124" t="n"/>
      <c r="M9" s="124" t="n"/>
      <c r="N9" s="124" t="n"/>
      <c r="O9" s="198" t="n"/>
      <c r="P9" s="196" t="n"/>
      <c r="Q9" s="199">
        <f>IF(I9="No aplica",0,H9)</f>
        <v/>
      </c>
      <c r="R9" s="199">
        <f>IF(ISNUMBER(J9),J9*H9,0)</f>
        <v/>
      </c>
    </row>
    <row r="10" ht="24" customHeight="1">
      <c r="A10" s="184" t="inlineStr">
        <is>
          <t>02  ·  Diseño y aprobación del RMM     (3 requisitos)</t>
        </is>
      </c>
      <c r="B10" s="185" t="n"/>
      <c r="C10" s="185" t="n"/>
      <c r="D10" s="185" t="n"/>
      <c r="E10" s="185" t="n"/>
      <c r="F10" s="185" t="n"/>
      <c r="G10" s="185" t="n"/>
      <c r="H10" s="185" t="n"/>
      <c r="I10" s="186" t="n"/>
      <c r="J10" s="187">
        <f>IFERROR(SUMIFS($R$7:$R$400,$B$7:$B$400,"02. Diseño y aprobación del RMM")/SUMIFS($Q$7:$Q$400,$B$7:$B$400,"02. Diseño y aprobación del RMM"),"N/A")</f>
        <v/>
      </c>
      <c r="K10" s="186" t="n"/>
      <c r="L10" s="186" t="n"/>
      <c r="M10" s="186" t="n"/>
      <c r="N10" s="186" t="n"/>
      <c r="O10" s="186" t="n"/>
      <c r="P10" s="186" t="n"/>
      <c r="Q10" s="108" t="n"/>
      <c r="R10" s="108" t="n"/>
    </row>
    <row r="11" ht="36" customHeight="1">
      <c r="A11" s="188" t="inlineStr">
        <is>
          <t>R-03</t>
        </is>
      </c>
      <c r="B11" s="189" t="inlineStr">
        <is>
          <t>02. Diseño y aprobación del RMM</t>
        </is>
      </c>
      <c r="C11" s="190" t="inlineStr">
        <is>
          <t>9.21.1</t>
        </is>
      </c>
      <c r="D11" s="191" t="inlineStr">
        <is>
          <t>201</t>
        </is>
      </c>
      <c r="E11" s="192" t="inlineStr">
        <is>
          <t>Diseño e implementación del RMM a cargo del RL, considerando la materialidad y características propias de la empresa.</t>
        </is>
      </c>
      <c r="F11" s="193" t="inlineStr">
        <is>
          <t>Documento del RMM ajustado a la empresa (no copiado).</t>
        </is>
      </c>
      <c r="G11" s="194" t="inlineStr">
        <is>
          <t>Representante Legal</t>
        </is>
      </c>
      <c r="H11" s="195" t="n">
        <v>3</v>
      </c>
      <c r="I11" s="196" t="n"/>
      <c r="J11" s="197">
        <f>IF(I11="","",IF(I11="No aplica","N/A",INDEX(Escala!$C$5:$C$9,MATCH(I11,Escala!$B$5:$B$9,0))))</f>
        <v/>
      </c>
      <c r="K11" s="124" t="n"/>
      <c r="L11" s="124" t="n"/>
      <c r="M11" s="124" t="n"/>
      <c r="N11" s="124" t="n"/>
      <c r="O11" s="198" t="n"/>
      <c r="P11" s="196" t="n"/>
      <c r="Q11" s="199">
        <f>IF(I11="No aplica",0,H11)</f>
        <v/>
      </c>
      <c r="R11" s="199">
        <f>IF(ISNUMBER(J11),J11*H11,0)</f>
        <v/>
      </c>
    </row>
    <row r="12" ht="36" customHeight="1">
      <c r="A12" s="188" t="inlineStr">
        <is>
          <t>R-04</t>
        </is>
      </c>
      <c r="B12" s="189" t="inlineStr">
        <is>
          <t>02. Diseño y aprobación del RMM</t>
        </is>
      </c>
      <c r="C12" s="190" t="inlineStr">
        <is>
          <t>9.21.1</t>
        </is>
      </c>
      <c r="D12" s="191" t="inlineStr">
        <is>
          <t>201</t>
        </is>
      </c>
      <c r="E12" s="192" t="inlineStr">
        <is>
          <t>El RL y la Junta (o máximo órgano) disponen los recursos operativos, económicos, físicos y tecnológicos necesarios.</t>
        </is>
      </c>
      <c r="F12" s="193" t="inlineStr">
        <is>
          <t>Presupuesto o recursos asignados documentados.</t>
        </is>
      </c>
      <c r="G12" s="194" t="inlineStr">
        <is>
          <t>RL / Junta Directiva</t>
        </is>
      </c>
      <c r="H12" s="195" t="n">
        <v>2</v>
      </c>
      <c r="I12" s="196" t="n"/>
      <c r="J12" s="197">
        <f>IF(I12="","",IF(I12="No aplica","N/A",INDEX(Escala!$C$5:$C$9,MATCH(I12,Escala!$B$5:$B$9,0))))</f>
        <v/>
      </c>
      <c r="K12" s="124" t="n"/>
      <c r="L12" s="124" t="n"/>
      <c r="M12" s="124" t="n"/>
      <c r="N12" s="124" t="n"/>
      <c r="O12" s="198" t="n"/>
      <c r="P12" s="196" t="n"/>
      <c r="Q12" s="199">
        <f>IF(I12="No aplica",0,H12)</f>
        <v/>
      </c>
      <c r="R12" s="199">
        <f>IF(ISNUMBER(J12),J12*H12,0)</f>
        <v/>
      </c>
    </row>
    <row r="13" ht="36" customHeight="1">
      <c r="A13" s="188" t="inlineStr">
        <is>
          <t>R-05</t>
        </is>
      </c>
      <c r="B13" s="189" t="inlineStr">
        <is>
          <t>02. Diseño y aprobación del RMM</t>
        </is>
      </c>
      <c r="C13" s="190" t="inlineStr">
        <is>
          <t>9.21.1</t>
        </is>
      </c>
      <c r="D13" s="191" t="inlineStr">
        <is>
          <t>201</t>
        </is>
      </c>
      <c r="E13" s="192" t="inlineStr">
        <is>
          <t>Aprobación del RMM por la Junta Directiva (o máximo órgano), presentado por el RL, constando en acta.</t>
        </is>
      </c>
      <c r="F13" s="193" t="inlineStr">
        <is>
          <t>Acta de aprobación.</t>
        </is>
      </c>
      <c r="G13" s="194" t="inlineStr">
        <is>
          <t>Junta Directiva</t>
        </is>
      </c>
      <c r="H13" s="195" t="n">
        <v>3</v>
      </c>
      <c r="I13" s="196" t="n"/>
      <c r="J13" s="197">
        <f>IF(I13="","",IF(I13="No aplica","N/A",INDEX(Escala!$C$5:$C$9,MATCH(I13,Escala!$B$5:$B$9,0))))</f>
        <v/>
      </c>
      <c r="K13" s="124" t="n"/>
      <c r="L13" s="124" t="n"/>
      <c r="M13" s="124" t="n"/>
      <c r="N13" s="124" t="n"/>
      <c r="O13" s="198" t="n"/>
      <c r="P13" s="196" t="n"/>
      <c r="Q13" s="199">
        <f>IF(I13="No aplica",0,H13)</f>
        <v/>
      </c>
      <c r="R13" s="199">
        <f>IF(ISNUMBER(J13),J13*H13,0)</f>
        <v/>
      </c>
    </row>
    <row r="14" ht="24" customHeight="1">
      <c r="A14" s="184" t="inlineStr">
        <is>
          <t>03  ·  Divulgación y capacitación     (2 requisitos)</t>
        </is>
      </c>
      <c r="B14" s="185" t="n"/>
      <c r="C14" s="185" t="n"/>
      <c r="D14" s="185" t="n"/>
      <c r="E14" s="185" t="n"/>
      <c r="F14" s="185" t="n"/>
      <c r="G14" s="185" t="n"/>
      <c r="H14" s="185" t="n"/>
      <c r="I14" s="186" t="n"/>
      <c r="J14" s="187">
        <f>IFERROR(SUMIFS($R$7:$R$400,$B$7:$B$400,"03. Divulgación y capacitación")/SUMIFS($Q$7:$Q$400,$B$7:$B$400,"03. Divulgación y capacitación"),"N/A")</f>
        <v/>
      </c>
      <c r="K14" s="186" t="n"/>
      <c r="L14" s="186" t="n"/>
      <c r="M14" s="186" t="n"/>
      <c r="N14" s="186" t="n"/>
      <c r="O14" s="186" t="n"/>
      <c r="P14" s="186" t="n"/>
      <c r="Q14" s="108" t="n"/>
      <c r="R14" s="108" t="n"/>
    </row>
    <row r="15" ht="36" customHeight="1">
      <c r="A15" s="188" t="inlineStr">
        <is>
          <t>R-06</t>
        </is>
      </c>
      <c r="B15" s="189" t="inlineStr">
        <is>
          <t>03. Divulgación y capacitación</t>
        </is>
      </c>
      <c r="C15" s="190" t="inlineStr">
        <is>
          <t>9.21.2 a</t>
        </is>
      </c>
      <c r="D15" s="191" t="inlineStr">
        <is>
          <t>201</t>
        </is>
      </c>
      <c r="E15" s="192" t="inlineStr">
        <is>
          <t>Instruir, a través del RL, a empleados y asociados sobre los riesgos LA/FT/FP y C/ST por lo menos una (1) vez al año.</t>
        </is>
      </c>
      <c r="F15" s="193" t="inlineStr">
        <is>
          <t>Listas de asistencia, fecha y contenidos.</t>
        </is>
      </c>
      <c r="G15" s="194" t="inlineStr">
        <is>
          <t>Representante Legal</t>
        </is>
      </c>
      <c r="H15" s="195" t="n">
        <v>3</v>
      </c>
      <c r="I15" s="196" t="n"/>
      <c r="J15" s="197">
        <f>IF(I15="","",IF(I15="No aplica","N/A",INDEX(Escala!$C$5:$C$9,MATCH(I15,Escala!$B$5:$B$9,0))))</f>
        <v/>
      </c>
      <c r="K15" s="124" t="n"/>
      <c r="L15" s="124" t="n"/>
      <c r="M15" s="124" t="n"/>
      <c r="N15" s="124" t="n"/>
      <c r="O15" s="198" t="n"/>
      <c r="P15" s="196" t="n"/>
      <c r="Q15" s="199">
        <f>IF(I15="No aplica",0,H15)</f>
        <v/>
      </c>
      <c r="R15" s="199">
        <f>IF(ISNUMBER(J15),J15*H15,0)</f>
        <v/>
      </c>
    </row>
    <row r="16" ht="36" customHeight="1">
      <c r="A16" s="188" t="inlineStr">
        <is>
          <t>R-07</t>
        </is>
      </c>
      <c r="B16" s="189" t="inlineStr">
        <is>
          <t>03. Divulgación y capacitación</t>
        </is>
      </c>
      <c r="C16" s="190" t="inlineStr">
        <is>
          <t>9.21.2 b</t>
        </is>
      </c>
      <c r="D16" s="191" t="inlineStr">
        <is>
          <t>201</t>
        </is>
      </c>
      <c r="E16" s="192" t="inlineStr">
        <is>
          <t>Comunicar y divulgar las medidas mínimas adoptadas por la sociedad.</t>
        </is>
      </c>
      <c r="F16" s="193" t="inlineStr">
        <is>
          <t>Comunicados, publicación en intranet o carteleras.</t>
        </is>
      </c>
      <c r="G16" s="194" t="inlineStr">
        <is>
          <t>Representante Legal</t>
        </is>
      </c>
      <c r="H16" s="195" t="n">
        <v>2</v>
      </c>
      <c r="I16" s="196" t="n"/>
      <c r="J16" s="197">
        <f>IF(I16="","",IF(I16="No aplica","N/A",INDEX(Escala!$C$5:$C$9,MATCH(I16,Escala!$B$5:$B$9,0))))</f>
        <v/>
      </c>
      <c r="K16" s="124" t="n"/>
      <c r="L16" s="124" t="n"/>
      <c r="M16" s="124" t="n"/>
      <c r="N16" s="124" t="n"/>
      <c r="O16" s="198" t="n"/>
      <c r="P16" s="196" t="n"/>
      <c r="Q16" s="199">
        <f>IF(I16="No aplica",0,H16)</f>
        <v/>
      </c>
      <c r="R16" s="199">
        <f>IF(ISNUMBER(J16),J16*H16,0)</f>
        <v/>
      </c>
    </row>
    <row r="17" ht="24" customHeight="1">
      <c r="A17" s="184" t="inlineStr">
        <is>
          <t>04  ·  Debida diligencia     (7 requisitos)</t>
        </is>
      </c>
      <c r="B17" s="185" t="n"/>
      <c r="C17" s="185" t="n"/>
      <c r="D17" s="185" t="n"/>
      <c r="E17" s="185" t="n"/>
      <c r="F17" s="185" t="n"/>
      <c r="G17" s="185" t="n"/>
      <c r="H17" s="185" t="n"/>
      <c r="I17" s="186" t="n"/>
      <c r="J17" s="187">
        <f>IFERROR(SUMIFS($R$7:$R$400,$B$7:$B$400,"04. Debida diligencia")/SUMIFS($Q$7:$Q$400,$B$7:$B$400,"04. Debida diligencia"),"N/A")</f>
        <v/>
      </c>
      <c r="K17" s="186" t="n"/>
      <c r="L17" s="186" t="n"/>
      <c r="M17" s="186" t="n"/>
      <c r="N17" s="186" t="n"/>
      <c r="O17" s="186" t="n"/>
      <c r="P17" s="186" t="n"/>
      <c r="Q17" s="108" t="n"/>
      <c r="R17" s="108" t="n"/>
    </row>
    <row r="18" ht="36" customHeight="1">
      <c r="A18" s="188" t="inlineStr">
        <is>
          <t>R-08</t>
        </is>
      </c>
      <c r="B18" s="189" t="inlineStr">
        <is>
          <t>04. Debida diligencia</t>
        </is>
      </c>
      <c r="C18" s="190" t="inlineStr">
        <is>
          <t>9.21.3 a</t>
        </is>
      </c>
      <c r="D18" s="191" t="inlineStr">
        <is>
          <t>201</t>
        </is>
      </c>
      <c r="E18" s="192" t="inlineStr">
        <is>
          <t>Identificar a la contraparte y verificar su identidad con documentos o fuentes confiables e independientes.</t>
        </is>
      </c>
      <c r="F18" s="193" t="inlineStr">
        <is>
          <t>Formatos de vinculación con soportes.</t>
        </is>
      </c>
      <c r="G18" s="194" t="inlineStr">
        <is>
          <t>Áreas de vinculación</t>
        </is>
      </c>
      <c r="H18" s="195" t="n">
        <v>3</v>
      </c>
      <c r="I18" s="196" t="n"/>
      <c r="J18" s="197">
        <f>IF(I18="","",IF(I18="No aplica","N/A",INDEX(Escala!$C$5:$C$9,MATCH(I18,Escala!$B$5:$B$9,0))))</f>
        <v/>
      </c>
      <c r="K18" s="124" t="n"/>
      <c r="L18" s="124" t="n"/>
      <c r="M18" s="124" t="n"/>
      <c r="N18" s="124" t="n"/>
      <c r="O18" s="198" t="n"/>
      <c r="P18" s="196" t="n"/>
      <c r="Q18" s="199">
        <f>IF(I18="No aplica",0,H18)</f>
        <v/>
      </c>
      <c r="R18" s="199">
        <f>IF(ISNUMBER(J18),J18*H18,0)</f>
        <v/>
      </c>
    </row>
    <row r="19" ht="62" customHeight="1">
      <c r="A19" s="188" t="inlineStr">
        <is>
          <t>R-09</t>
        </is>
      </c>
      <c r="B19" s="189" t="inlineStr">
        <is>
          <t>04. Debida diligencia</t>
        </is>
      </c>
      <c r="C19" s="190" t="inlineStr">
        <is>
          <t>9.21.3 b-c</t>
        </is>
      </c>
      <c r="D19" s="191" t="inlineStr">
        <is>
          <t>201-202</t>
        </is>
      </c>
      <c r="E19" s="192" t="inlineStr">
        <is>
          <t>Identificar al beneficiario final, verificar su identidad y conocer la estructura de propiedad (nombre y número de identificación de los beneficiarios finales) con medidas razonables.</t>
        </is>
      </c>
      <c r="F19" s="193" t="inlineStr">
        <is>
          <t>Formato de beneficiario final y composición accionaria.</t>
        </is>
      </c>
      <c r="G19" s="194" t="inlineStr">
        <is>
          <t>Áreas de vinculación</t>
        </is>
      </c>
      <c r="H19" s="195" t="n">
        <v>3</v>
      </c>
      <c r="I19" s="196" t="n"/>
      <c r="J19" s="197">
        <f>IF(I19="","",IF(I19="No aplica","N/A",INDEX(Escala!$C$5:$C$9,MATCH(I19,Escala!$B$5:$B$9,0))))</f>
        <v/>
      </c>
      <c r="K19" s="124" t="n"/>
      <c r="L19" s="124" t="n"/>
      <c r="M19" s="124" t="n"/>
      <c r="N19" s="124" t="n"/>
      <c r="O19" s="198" t="n"/>
      <c r="P19" s="196" t="n"/>
      <c r="Q19" s="199">
        <f>IF(I19="No aplica",0,H19)</f>
        <v/>
      </c>
      <c r="R19" s="199">
        <f>IF(ISNUMBER(J19),J19*H19,0)</f>
        <v/>
      </c>
    </row>
    <row r="20" ht="36" customHeight="1">
      <c r="A20" s="188" t="inlineStr">
        <is>
          <t>R-10</t>
        </is>
      </c>
      <c r="B20" s="189" t="inlineStr">
        <is>
          <t>04. Debida diligencia</t>
        </is>
      </c>
      <c r="C20" s="190" t="inlineStr">
        <is>
          <t>9.21.3 d</t>
        </is>
      </c>
      <c r="D20" s="191" t="inlineStr">
        <is>
          <t>202</t>
        </is>
      </c>
      <c r="E20" s="192" t="inlineStr">
        <is>
          <t>Entender y, cuando corresponda, obtener información sobre el propósito y carácter de la relación comercial.</t>
        </is>
      </c>
      <c r="F20" s="193" t="inlineStr">
        <is>
          <t>Campo de propósito de la relación en el formato.</t>
        </is>
      </c>
      <c r="G20" s="194" t="inlineStr">
        <is>
          <t>Áreas de vinculación</t>
        </is>
      </c>
      <c r="H20" s="195" t="n">
        <v>2</v>
      </c>
      <c r="I20" s="196" t="n"/>
      <c r="J20" s="197">
        <f>IF(I20="","",IF(I20="No aplica","N/A",INDEX(Escala!$C$5:$C$9,MATCH(I20,Escala!$B$5:$B$9,0))))</f>
        <v/>
      </c>
      <c r="K20" s="124" t="n"/>
      <c r="L20" s="124" t="n"/>
      <c r="M20" s="124" t="n"/>
      <c r="N20" s="124" t="n"/>
      <c r="O20" s="198" t="n"/>
      <c r="P20" s="196" t="n"/>
      <c r="Q20" s="199">
        <f>IF(I20="No aplica",0,H20)</f>
        <v/>
      </c>
      <c r="R20" s="199">
        <f>IF(ISNUMBER(J20),J20*H20,0)</f>
        <v/>
      </c>
    </row>
    <row r="21" ht="49" customHeight="1">
      <c r="A21" s="188" t="inlineStr">
        <is>
          <t>R-11</t>
        </is>
      </c>
      <c r="B21" s="189" t="inlineStr">
        <is>
          <t>04. Debida diligencia</t>
        </is>
      </c>
      <c r="C21" s="190" t="inlineStr">
        <is>
          <t>9.21.3 e</t>
        </is>
      </c>
      <c r="D21" s="191" t="inlineStr">
        <is>
          <t>202</t>
        </is>
      </c>
      <c r="E21" s="192" t="inlineStr">
        <is>
          <t>Debida Diligencia continua y examen de las transacciones de la relación, incluyendo el origen de fondos cuando sea necesario.</t>
        </is>
      </c>
      <c r="F21" s="193" t="inlineStr">
        <is>
          <t>Revisiones periódicas documentadas.</t>
        </is>
      </c>
      <c r="G21" s="194" t="inlineStr">
        <is>
          <t>Representante Legal</t>
        </is>
      </c>
      <c r="H21" s="195" t="n">
        <v>3</v>
      </c>
      <c r="I21" s="196" t="n"/>
      <c r="J21" s="197">
        <f>IF(I21="","",IF(I21="No aplica","N/A",INDEX(Escala!$C$5:$C$9,MATCH(I21,Escala!$B$5:$B$9,0))))</f>
        <v/>
      </c>
      <c r="K21" s="124" t="n"/>
      <c r="L21" s="124" t="n"/>
      <c r="M21" s="124" t="n"/>
      <c r="N21" s="124" t="n"/>
      <c r="O21" s="198" t="n"/>
      <c r="P21" s="196" t="n"/>
      <c r="Q21" s="199">
        <f>IF(I21="No aplica",0,H21)</f>
        <v/>
      </c>
      <c r="R21" s="199">
        <f>IF(ISNUMBER(J21),J21*H21,0)</f>
        <v/>
      </c>
    </row>
    <row r="22" ht="49" customHeight="1">
      <c r="A22" s="188" t="inlineStr">
        <is>
          <t>R-12</t>
        </is>
      </c>
      <c r="B22" s="189" t="inlineStr">
        <is>
          <t>04. Debida diligencia</t>
        </is>
      </c>
      <c r="C22" s="190" t="inlineStr">
        <is>
          <t>9.21.3 f</t>
        </is>
      </c>
      <c r="D22" s="191" t="inlineStr">
        <is>
          <t>202</t>
        </is>
      </c>
      <c r="E22" s="192" t="inlineStr">
        <is>
          <t>Suministrar elementos de juicio para descartar que remuneraciones muy elevadas a contratistas oculten sobornos a servidores públicos o terceros.</t>
        </is>
      </c>
      <c r="F22" s="193" t="inlineStr">
        <is>
          <t>Análisis de razonabilidad de comisiones y honorarios.</t>
        </is>
      </c>
      <c r="G22" s="194" t="inlineStr">
        <is>
          <t>RL / Área financiera</t>
        </is>
      </c>
      <c r="H22" s="195" t="n">
        <v>2</v>
      </c>
      <c r="I22" s="196" t="n"/>
      <c r="J22" s="197">
        <f>IF(I22="","",IF(I22="No aplica","N/A",INDEX(Escala!$C$5:$C$9,MATCH(I22,Escala!$B$5:$B$9,0))))</f>
        <v/>
      </c>
      <c r="K22" s="124" t="n"/>
      <c r="L22" s="124" t="n"/>
      <c r="M22" s="124" t="n"/>
      <c r="N22" s="124" t="n"/>
      <c r="O22" s="198" t="n"/>
      <c r="P22" s="196" t="n"/>
      <c r="Q22" s="199">
        <f>IF(I22="No aplica",0,H22)</f>
        <v/>
      </c>
      <c r="R22" s="199">
        <f>IF(ISNUMBER(J22),J22*H22,0)</f>
        <v/>
      </c>
    </row>
    <row r="23" ht="36" customHeight="1">
      <c r="A23" s="188" t="inlineStr">
        <is>
          <t>R-13</t>
        </is>
      </c>
      <c r="B23" s="189" t="inlineStr">
        <is>
          <t>04. Debida diligencia</t>
        </is>
      </c>
      <c r="C23" s="190" t="inlineStr">
        <is>
          <t>9.21.3 g</t>
        </is>
      </c>
      <c r="D23" s="191" t="inlineStr">
        <is>
          <t>202</t>
        </is>
      </c>
      <c r="E23" s="192" t="inlineStr">
        <is>
          <t>Las actividades de Debida Diligencia constan por escrito, de fácil acceso y entendimiento para el RL o su delegado.</t>
        </is>
      </c>
      <c r="F23" s="193" t="inlineStr">
        <is>
          <t>Expedientes de contrapartes organizados.</t>
        </is>
      </c>
      <c r="G23" s="194" t="inlineStr">
        <is>
          <t>Representante Legal</t>
        </is>
      </c>
      <c r="H23" s="195" t="n">
        <v>2</v>
      </c>
      <c r="I23" s="196" t="n"/>
      <c r="J23" s="197">
        <f>IF(I23="","",IF(I23="No aplica","N/A",INDEX(Escala!$C$5:$C$9,MATCH(I23,Escala!$B$5:$B$9,0))))</f>
        <v/>
      </c>
      <c r="K23" s="124" t="n"/>
      <c r="L23" s="124" t="n"/>
      <c r="M23" s="124" t="n"/>
      <c r="N23" s="124" t="n"/>
      <c r="O23" s="198" t="n"/>
      <c r="P23" s="196" t="n"/>
      <c r="Q23" s="199">
        <f>IF(I23="No aplica",0,H23)</f>
        <v/>
      </c>
      <c r="R23" s="199">
        <f>IF(ISNUMBER(J23),J23*H23,0)</f>
        <v/>
      </c>
    </row>
    <row r="24" ht="62" customHeight="1">
      <c r="A24" s="188" t="inlineStr">
        <is>
          <t>R-14</t>
        </is>
      </c>
      <c r="B24" s="189" t="inlineStr">
        <is>
          <t>04. Debida diligencia</t>
        </is>
      </c>
      <c r="C24" s="190" t="inlineStr">
        <is>
          <t>9.21.3 h</t>
        </is>
      </c>
      <c r="D24" s="191" t="inlineStr">
        <is>
          <t>202</t>
        </is>
      </c>
      <c r="E24" s="192" t="inlineStr">
        <is>
          <t>Si no es posible identificar a la contraparte o su beneficiario final, documentar las razones jurídicas y completar la DD tras la vinculación (la Circular menciona al OC; en RMM lo asume el RL o su delegado).</t>
        </is>
      </c>
      <c r="F24" s="193" t="inlineStr">
        <is>
          <t>Registro de casos excepcionales con su cierre.</t>
        </is>
      </c>
      <c r="G24" s="194" t="inlineStr">
        <is>
          <t>RL / delegado</t>
        </is>
      </c>
      <c r="H24" s="195" t="n">
        <v>2</v>
      </c>
      <c r="I24" s="196" t="n"/>
      <c r="J24" s="197">
        <f>IF(I24="","",IF(I24="No aplica","N/A",INDEX(Escala!$C$5:$C$9,MATCH(I24,Escala!$B$5:$B$9,0))))</f>
        <v/>
      </c>
      <c r="K24" s="124" t="n"/>
      <c r="L24" s="124" t="n"/>
      <c r="M24" s="124" t="n"/>
      <c r="N24" s="124" t="n"/>
      <c r="O24" s="198" t="n"/>
      <c r="P24" s="196" t="n"/>
      <c r="Q24" s="199">
        <f>IF(I24="No aplica",0,H24)</f>
        <v/>
      </c>
      <c r="R24" s="199">
        <f>IF(ISNUMBER(J24),J24*H24,0)</f>
        <v/>
      </c>
    </row>
    <row r="25" ht="24" customHeight="1">
      <c r="A25" s="184" t="inlineStr">
        <is>
          <t>05  ·  Reportes y canales     (4 requisitos)</t>
        </is>
      </c>
      <c r="B25" s="185" t="n"/>
      <c r="C25" s="185" t="n"/>
      <c r="D25" s="185" t="n"/>
      <c r="E25" s="185" t="n"/>
      <c r="F25" s="185" t="n"/>
      <c r="G25" s="185" t="n"/>
      <c r="H25" s="185" t="n"/>
      <c r="I25" s="186" t="n"/>
      <c r="J25" s="187">
        <f>IFERROR(SUMIFS($R$7:$R$400,$B$7:$B$400,"05. Reportes y canales")/SUMIFS($Q$7:$Q$400,$B$7:$B$400,"05. Reportes y canales"),"N/A")</f>
        <v/>
      </c>
      <c r="K25" s="186" t="n"/>
      <c r="L25" s="186" t="n"/>
      <c r="M25" s="186" t="n"/>
      <c r="N25" s="186" t="n"/>
      <c r="O25" s="186" t="n"/>
      <c r="P25" s="186" t="n"/>
      <c r="Q25" s="108" t="n"/>
      <c r="R25" s="108" t="n"/>
    </row>
    <row r="26" ht="49" customHeight="1">
      <c r="A26" s="188" t="inlineStr">
        <is>
          <t>R-15</t>
        </is>
      </c>
      <c r="B26" s="189" t="inlineStr">
        <is>
          <t>05. Reportes y canales</t>
        </is>
      </c>
      <c r="C26" s="190" t="inlineStr">
        <is>
          <t>9.21.4</t>
        </is>
      </c>
      <c r="D26" s="191" t="inlineStr">
        <is>
          <t>202</t>
        </is>
      </c>
      <c r="E26" s="192" t="inlineStr">
        <is>
          <t>Consultar permanentemente las Listas Vinculantes y, ante coincidencia, reportar a la UIAF y poner en conocimiento de la Fiscalía.</t>
        </is>
      </c>
      <c r="F26" s="193" t="inlineStr">
        <is>
          <t>Evidencia de consultas con fecha; procedimiento de reporte.</t>
        </is>
      </c>
      <c r="G26" s="194" t="inlineStr">
        <is>
          <t>Representante Legal</t>
        </is>
      </c>
      <c r="H26" s="195" t="n">
        <v>3</v>
      </c>
      <c r="I26" s="196" t="n"/>
      <c r="J26" s="197">
        <f>IF(I26="","",IF(I26="No aplica","N/A",INDEX(Escala!$C$5:$C$9,MATCH(I26,Escala!$B$5:$B$9,0))))</f>
        <v/>
      </c>
      <c r="K26" s="124" t="n"/>
      <c r="L26" s="124" t="n"/>
      <c r="M26" s="124" t="n"/>
      <c r="N26" s="124" t="n"/>
      <c r="O26" s="198" t="n"/>
      <c r="P26" s="196" t="n"/>
      <c r="Q26" s="199">
        <f>IF(I26="No aplica",0,H26)</f>
        <v/>
      </c>
      <c r="R26" s="199">
        <f>IF(ISNUMBER(J26),J26*H26,0)</f>
        <v/>
      </c>
    </row>
    <row r="27" ht="49" customHeight="1">
      <c r="A27" s="188" t="inlineStr">
        <is>
          <t>R-16</t>
        </is>
      </c>
      <c r="B27" s="189" t="inlineStr">
        <is>
          <t>05. Reportes y canales</t>
        </is>
      </c>
      <c r="C27" s="190" t="inlineStr">
        <is>
          <t>9.21.4</t>
        </is>
      </c>
      <c r="D27" s="191" t="inlineStr">
        <is>
          <t>202</t>
        </is>
      </c>
      <c r="E27" s="192" t="inlineStr">
        <is>
          <t>Definir, adoptar y monitorear acciones y herramientas para detectar operaciones inusuales y sospechosas y reportarlas efectivamente a la UIAF.</t>
        </is>
      </c>
      <c r="F27" s="193" t="inlineStr">
        <is>
          <t>Procedimiento y registro de alertas analizadas.</t>
        </is>
      </c>
      <c r="G27" s="194" t="inlineStr">
        <is>
          <t>Representante Legal</t>
        </is>
      </c>
      <c r="H27" s="195" t="n">
        <v>3</v>
      </c>
      <c r="I27" s="196" t="n"/>
      <c r="J27" s="197">
        <f>IF(I27="","",IF(I27="No aplica","N/A",INDEX(Escala!$C$5:$C$9,MATCH(I27,Escala!$B$5:$B$9,0))))</f>
        <v/>
      </c>
      <c r="K27" s="124" t="n"/>
      <c r="L27" s="124" t="n"/>
      <c r="M27" s="124" t="n"/>
      <c r="N27" s="124" t="n"/>
      <c r="O27" s="198" t="n"/>
      <c r="P27" s="196" t="n"/>
      <c r="Q27" s="199">
        <f>IF(I27="No aplica",0,H27)</f>
        <v/>
      </c>
      <c r="R27" s="199">
        <f>IF(ISNUMBER(J27),J27*H27,0)</f>
        <v/>
      </c>
    </row>
    <row r="28" ht="49" customHeight="1">
      <c r="A28" s="188" t="inlineStr">
        <is>
          <t>R-17</t>
        </is>
      </c>
      <c r="B28" s="189" t="inlineStr">
        <is>
          <t>05. Reportes y canales</t>
        </is>
      </c>
      <c r="C28" s="190" t="inlineStr">
        <is>
          <t>9.21.4</t>
        </is>
      </c>
      <c r="D28" s="191" t="inlineStr">
        <is>
          <t>202</t>
        </is>
      </c>
      <c r="E28" s="192" t="inlineStr">
        <is>
          <t>El RL se registra en SIREL como único responsable de ROS y del AROS trimestral cuando no haya ROS (dentro de los 10 días calendario siguientes al trimestre, num. 9.19).</t>
        </is>
      </c>
      <c r="F28" s="193" t="inlineStr">
        <is>
          <t>Usuario SIREL activo y constancias trimestrales.</t>
        </is>
      </c>
      <c r="G28" s="194" t="inlineStr">
        <is>
          <t>Representante Legal</t>
        </is>
      </c>
      <c r="H28" s="195" t="n">
        <v>3</v>
      </c>
      <c r="I28" s="196" t="n"/>
      <c r="J28" s="197">
        <f>IF(I28="","",IF(I28="No aplica","N/A",INDEX(Escala!$C$5:$C$9,MATCH(I28,Escala!$B$5:$B$9,0))))</f>
        <v/>
      </c>
      <c r="K28" s="124" t="n"/>
      <c r="L28" s="124" t="n"/>
      <c r="M28" s="124" t="n"/>
      <c r="N28" s="124" t="n"/>
      <c r="O28" s="198" t="n"/>
      <c r="P28" s="196" t="n"/>
      <c r="Q28" s="199">
        <f>IF(I28="No aplica",0,H28)</f>
        <v/>
      </c>
      <c r="R28" s="199">
        <f>IF(ISNUMBER(J28),J28*H28,0)</f>
        <v/>
      </c>
    </row>
    <row r="29" ht="49" customHeight="1">
      <c r="A29" s="188" t="inlineStr">
        <is>
          <t>R-18</t>
        </is>
      </c>
      <c r="B29" s="189" t="inlineStr">
        <is>
          <t>05. Reportes y canales</t>
        </is>
      </c>
      <c r="C29" s="190" t="inlineStr">
        <is>
          <t>9.21.4</t>
        </is>
      </c>
      <c r="D29" s="191" t="inlineStr">
        <is>
          <t>202</t>
        </is>
      </c>
      <c r="E29" s="192" t="inlineStr">
        <is>
          <t>Incluir la promoción del canal de denuncias por soborno transnacional de la Supersociedades y del canal de la Secretaría de Transparencia.</t>
        </is>
      </c>
      <c r="F29" s="193" t="inlineStr">
        <is>
          <t>Publicación de los enlaces en web, intranet o capacitaciones.</t>
        </is>
      </c>
      <c r="G29" s="194" t="inlineStr">
        <is>
          <t>Representante Legal</t>
        </is>
      </c>
      <c r="H29" s="195" t="n">
        <v>2</v>
      </c>
      <c r="I29" s="196" t="n"/>
      <c r="J29" s="197">
        <f>IF(I29="","",IF(I29="No aplica","N/A",INDEX(Escala!$C$5:$C$9,MATCH(I29,Escala!$B$5:$B$9,0))))</f>
        <v/>
      </c>
      <c r="K29" s="124" t="n"/>
      <c r="L29" s="124" t="n"/>
      <c r="M29" s="124" t="n"/>
      <c r="N29" s="124" t="n"/>
      <c r="O29" s="198" t="n"/>
      <c r="P29" s="196" t="n"/>
      <c r="Q29" s="199">
        <f>IF(I29="No aplica",0,H29)</f>
        <v/>
      </c>
      <c r="R29" s="199">
        <f>IF(ISNUMBER(J29),J29*H29,0)</f>
        <v/>
      </c>
    </row>
    <row r="30" ht="24" customHeight="1">
      <c r="A30" s="184" t="inlineStr">
        <is>
          <t>06  ·  Conservación de la información     (2 requisitos)</t>
        </is>
      </c>
      <c r="B30" s="185" t="n"/>
      <c r="C30" s="185" t="n"/>
      <c r="D30" s="185" t="n"/>
      <c r="E30" s="185" t="n"/>
      <c r="F30" s="185" t="n"/>
      <c r="G30" s="185" t="n"/>
      <c r="H30" s="185" t="n"/>
      <c r="I30" s="186" t="n"/>
      <c r="J30" s="187">
        <f>IFERROR(SUMIFS($R$7:$R$400,$B$7:$B$400,"06. Conservación de la información")/SUMIFS($Q$7:$Q$400,$B$7:$B$400,"06. Conservación de la información"),"N/A")</f>
        <v/>
      </c>
      <c r="K30" s="186" t="n"/>
      <c r="L30" s="186" t="n"/>
      <c r="M30" s="186" t="n"/>
      <c r="N30" s="186" t="n"/>
      <c r="O30" s="186" t="n"/>
      <c r="P30" s="186" t="n"/>
      <c r="Q30" s="108" t="n"/>
      <c r="R30" s="108" t="n"/>
    </row>
    <row r="31" ht="49" customHeight="1">
      <c r="A31" s="188" t="inlineStr">
        <is>
          <t>R-19</t>
        </is>
      </c>
      <c r="B31" s="189" t="inlineStr">
        <is>
          <t>06. Conservación de la información</t>
        </is>
      </c>
      <c r="C31" s="190" t="inlineStr">
        <is>
          <t>9.22</t>
        </is>
      </c>
      <c r="D31" s="191" t="inlineStr">
        <is>
          <t>203</t>
        </is>
      </c>
      <c r="E31" s="192" t="inlineStr">
        <is>
          <t>Documentos y registros que garanticen integridad, oportunidad, confiabilidad, reserva y disponibilidad; DD documentada con nombre de quien verificó, fecha y hora.</t>
        </is>
      </c>
      <c r="F31" s="193" t="inlineStr">
        <is>
          <t>Gestión documental con trazabilidad.</t>
        </is>
      </c>
      <c r="G31" s="194" t="inlineStr">
        <is>
          <t>Representante Legal</t>
        </is>
      </c>
      <c r="H31" s="195" t="n">
        <v>2</v>
      </c>
      <c r="I31" s="196" t="n"/>
      <c r="J31" s="197">
        <f>IF(I31="","",IF(I31="No aplica","N/A",INDEX(Escala!$C$5:$C$9,MATCH(I31,Escala!$B$5:$B$9,0))))</f>
        <v/>
      </c>
      <c r="K31" s="124" t="n"/>
      <c r="L31" s="124" t="n"/>
      <c r="M31" s="124" t="n"/>
      <c r="N31" s="124" t="n"/>
      <c r="O31" s="198" t="n"/>
      <c r="P31" s="196" t="n"/>
      <c r="Q31" s="199">
        <f>IF(I31="No aplica",0,H31)</f>
        <v/>
      </c>
      <c r="R31" s="199">
        <f>IF(ISNUMBER(J31),J31*H31,0)</f>
        <v/>
      </c>
    </row>
    <row r="32" ht="49" customHeight="1">
      <c r="A32" s="188" t="inlineStr">
        <is>
          <t>R-20</t>
        </is>
      </c>
      <c r="B32" s="189" t="inlineStr">
        <is>
          <t>06. Conservación de la información</t>
        </is>
      </c>
      <c r="C32" s="190" t="inlineStr">
        <is>
          <t>9.22</t>
        </is>
      </c>
      <c r="D32" s="191" t="inlineStr">
        <is>
          <t>203</t>
        </is>
      </c>
      <c r="E32" s="192" t="inlineStr">
        <is>
          <t>Respetar la protección de datos personales (Leyes 1266/2008 y 1581/2012) y conservar soportes según el art. 28 de la Ley 962 de 2005.</t>
        </is>
      </c>
      <c r="F32" s="193" t="inlineStr">
        <is>
          <t>Autorizaciones de tratamiento; tabla de retención documental.</t>
        </is>
      </c>
      <c r="G32" s="194" t="inlineStr">
        <is>
          <t>Representante Legal</t>
        </is>
      </c>
      <c r="H32" s="195" t="n">
        <v>2</v>
      </c>
      <c r="I32" s="196" t="n"/>
      <c r="J32" s="197">
        <f>IF(I32="","",IF(I32="No aplica","N/A",INDEX(Escala!$C$5:$C$9,MATCH(I32,Escala!$B$5:$B$9,0))))</f>
        <v/>
      </c>
      <c r="K32" s="124" t="n"/>
      <c r="L32" s="124" t="n"/>
      <c r="M32" s="124" t="n"/>
      <c r="N32" s="124" t="n"/>
      <c r="O32" s="198" t="n"/>
      <c r="P32" s="196" t="n"/>
      <c r="Q32" s="199">
        <f>IF(I32="No aplica",0,H32)</f>
        <v/>
      </c>
      <c r="R32" s="199">
        <f>IF(ISNUMBER(J32),J32*H32,0)</f>
        <v/>
      </c>
    </row>
    <row r="33" ht="24" customHeight="1">
      <c r="A33" s="184" t="inlineStr">
        <is>
          <t>07  ·  Transición y permanencia     (2 requisitos)</t>
        </is>
      </c>
      <c r="B33" s="185" t="n"/>
      <c r="C33" s="185" t="n"/>
      <c r="D33" s="185" t="n"/>
      <c r="E33" s="185" t="n"/>
      <c r="F33" s="185" t="n"/>
      <c r="G33" s="185" t="n"/>
      <c r="H33" s="185" t="n"/>
      <c r="I33" s="186" t="n"/>
      <c r="J33" s="187">
        <f>IFERROR(SUMIFS($R$7:$R$400,$B$7:$B$400,"07. Transición y permanencia")/SUMIFS($Q$7:$Q$400,$B$7:$B$400,"07. Transición y permanencia"),"N/A")</f>
        <v/>
      </c>
      <c r="K33" s="186" t="n"/>
      <c r="L33" s="186" t="n"/>
      <c r="M33" s="186" t="n"/>
      <c r="N33" s="186" t="n"/>
      <c r="O33" s="186" t="n"/>
      <c r="P33" s="186" t="n"/>
      <c r="Q33" s="108" t="n"/>
      <c r="R33" s="108" t="n"/>
    </row>
    <row r="34" ht="36" customHeight="1">
      <c r="A34" s="188" t="inlineStr">
        <is>
          <t>R-21</t>
        </is>
      </c>
      <c r="B34" s="189" t="inlineStr">
        <is>
          <t>07. Transición y permanencia</t>
        </is>
      </c>
      <c r="C34" s="190" t="inlineStr">
        <is>
          <t>9.29</t>
        </is>
      </c>
      <c r="D34" s="191" t="inlineStr">
        <is>
          <t>206-207</t>
        </is>
      </c>
      <c r="E34" s="192" t="inlineStr">
        <is>
          <t>Si ya estaba obligado por circulares anteriores: ajustar el RMM al Capítulo IX a más tardar el 31 de mayo de 2027.</t>
        </is>
      </c>
      <c r="F34" s="193" t="inlineStr">
        <is>
          <t>Acta de aprobación del RMM ajustado antes del 31/05/2027.</t>
        </is>
      </c>
      <c r="G34" s="194" t="inlineStr">
        <is>
          <t>RL / Junta Directiva</t>
        </is>
      </c>
      <c r="H34" s="195" t="n">
        <v>3</v>
      </c>
      <c r="I34" s="196" t="n"/>
      <c r="J34" s="197">
        <f>IF(I34="","",IF(I34="No aplica","N/A",INDEX(Escala!$C$5:$C$9,MATCH(I34,Escala!$B$5:$B$9,0))))</f>
        <v/>
      </c>
      <c r="K34" s="124" t="n"/>
      <c r="L34" s="124" t="n"/>
      <c r="M34" s="124" t="n"/>
      <c r="N34" s="124" t="n"/>
      <c r="O34" s="198" t="n"/>
      <c r="P34" s="196" t="n"/>
      <c r="Q34" s="199">
        <f>IF(I34="No aplica",0,H34)</f>
        <v/>
      </c>
      <c r="R34" s="199">
        <f>IF(ISNUMBER(J34),J34*H34,0)</f>
        <v/>
      </c>
    </row>
    <row r="35" ht="36" customHeight="1">
      <c r="A35" s="188" t="inlineStr">
        <is>
          <t>R-22</t>
        </is>
      </c>
      <c r="B35" s="189" t="inlineStr">
        <is>
          <t>07. Transición y permanencia</t>
        </is>
      </c>
      <c r="C35" s="190" t="inlineStr">
        <is>
          <t>9.30</t>
        </is>
      </c>
      <c r="D35" s="191" t="inlineStr">
        <is>
          <t>207</t>
        </is>
      </c>
      <c r="E35" s="192" t="inlineStr">
        <is>
          <t>Si deja de cumplir los umbrales, mantener el RMM por un (1) año adicional.</t>
        </is>
      </c>
      <c r="F35" s="193" t="inlineStr">
        <is>
          <t>Seguimiento anual de umbrales.</t>
        </is>
      </c>
      <c r="G35" s="194" t="inlineStr">
        <is>
          <t>Representante Legal</t>
        </is>
      </c>
      <c r="H35" s="195" t="n">
        <v>1</v>
      </c>
      <c r="I35" s="196" t="n"/>
      <c r="J35" s="197">
        <f>IF(I35="","",IF(I35="No aplica","N/A",INDEX(Escala!$C$5:$C$9,MATCH(I35,Escala!$B$5:$B$9,0))))</f>
        <v/>
      </c>
      <c r="K35" s="124" t="n"/>
      <c r="L35" s="124" t="n"/>
      <c r="M35" s="124" t="n"/>
      <c r="N35" s="124" t="n"/>
      <c r="O35" s="198" t="n"/>
      <c r="P35" s="196" t="n"/>
      <c r="Q35" s="199">
        <f>IF(I35="No aplica",0,H35)</f>
        <v/>
      </c>
      <c r="R35" s="199">
        <f>IF(ISNUMBER(J35),J35*H35,0)</f>
        <v/>
      </c>
    </row>
  </sheetData>
  <autoFilter ref="A6:P35"/>
  <mergeCells count="12">
    <mergeCell ref="A30:H30"/>
    <mergeCell ref="K5:P5"/>
    <mergeCell ref="A25:H25"/>
    <mergeCell ref="A7:H7"/>
    <mergeCell ref="A10:H10"/>
    <mergeCell ref="I5:J5"/>
    <mergeCell ref="A14:H14"/>
    <mergeCell ref="A33:H33"/>
    <mergeCell ref="A3:P3"/>
    <mergeCell ref="A5:H5"/>
    <mergeCell ref="A4:P4"/>
    <mergeCell ref="A17:H17"/>
  </mergeCells>
  <conditionalFormatting sqref="O8:O9 O11:O13 O15:O16 O18:O24 O26:O29 O31:O32 O34:O35">
    <cfRule type="expression" priority="1" dxfId="8" stopIfTrue="1">
      <formula>AND(ISNUMBER(O8),O8&lt;TODAY(),P8&lt;&gt;"Cerrada")</formula>
    </cfRule>
    <cfRule type="expression" priority="2" dxfId="9" stopIfTrue="1">
      <formula>AND(ISNUMBER(O8),O8&gt;DATE(2027,5,31))</formula>
    </cfRule>
  </conditionalFormatting>
  <conditionalFormatting sqref="P8:P9 P11:P13 P15:P16 P18:P24 P26:P29 P31:P32 P34:P35">
    <cfRule type="expression" priority="3" dxfId="10">
      <formula>P8="Cerrada"</formula>
    </cfRule>
    <cfRule type="expression" priority="4" dxfId="11">
      <formula>P8="En curso"</formula>
    </cfRule>
    <cfRule type="expression" priority="5" dxfId="12">
      <formula>P8="Pendiente"</formula>
    </cfRule>
  </conditionalFormatting>
  <conditionalFormatting sqref="I8:I9 I11:I13 I15:I16 I18:I24 I26:I29 I31:I32 I34:I35">
    <cfRule type="expression" priority="6" dxfId="10">
      <formula>I8="Cumple totalmente"</formula>
    </cfRule>
    <cfRule type="expression" priority="7" dxfId="13">
      <formula>I8="Cumple en gran medida"</formula>
    </cfRule>
    <cfRule type="expression" priority="8" dxfId="11">
      <formula>I8="Cumple parcialmente"</formula>
    </cfRule>
    <cfRule type="expression" priority="9" dxfId="9">
      <formula>I8="Cumplimiento incipiente"</formula>
    </cfRule>
    <cfRule type="expression" priority="10" dxfId="8">
      <formula>I8="No cumple"</formula>
    </cfRule>
    <cfRule type="expression" priority="11" dxfId="14">
      <formula>I8="No aplica"</formula>
    </cfRule>
  </conditionalFormatting>
  <conditionalFormatting sqref="J8:J9 J11:J13 J15:J16 J18:J24 J26:J29 J31:J32 J34:J35">
    <cfRule type="expression" priority="12" dxfId="4" stopIfTrue="1">
      <formula>AND(ISNUMBER(J8),J8&gt;=Escala!$C$14)</formula>
    </cfRule>
    <cfRule type="expression" priority="13" dxfId="5" stopIfTrue="1">
      <formula>AND(ISNUMBER(J8),J8&gt;=Escala!$C$15)</formula>
    </cfRule>
    <cfRule type="expression" priority="14" dxfId="6" stopIfTrue="1">
      <formula>AND(ISNUMBER(J8),J8&gt;=Escala!$C$16)</formula>
    </cfRule>
    <cfRule type="expression" priority="15" dxfId="7" stopIfTrue="1">
      <formula>ISNUMBER(J8)</formula>
    </cfRule>
    <cfRule type="dataBar" priority="16">
      <dataBar showValue="1">
        <cfvo type="num" val="0"/>
        <cfvo type="num" val="1"/>
        <color rgb="FFE3B8B2"/>
      </dataBar>
    </cfRule>
  </conditionalFormatting>
  <conditionalFormatting sqref="A7:H35 K7:P35">
    <cfRule type="expression" priority="17" dxfId="15">
      <formula>$I7="No aplica"</formula>
    </cfRule>
  </conditionalFormatting>
  <dataValidations count="3">
    <dataValidation sqref="I8:I9 I11:I13 I15:I16 I18:I24 I26:I29 I31:I32 I34:I35" showDropDown="0" showInputMessage="0" showErrorMessage="1" allowBlank="1" errorTitle="Estado no válido" error="Seleccione un estado de la lista." type="list">
      <formula1>=Escala!$B$5:$B$10</formula1>
    </dataValidation>
    <dataValidation sqref="H8:H9 H11:H13 H15:H16 H18:H24 H26:H29 H31:H32 H34:H35" showDropDown="0" showInputMessage="0" showErrorMessage="1" allowBlank="0" errorTitle="Peso no válido" error="El peso debe ser 0, 1, 2 o 3 (0 = recomendación, no suma al %)." type="whole" operator="between">
      <formula1>0</formula1>
      <formula2>3</formula2>
    </dataValidation>
    <dataValidation sqref="P8:P9 P11:P13 P15:P16 P18:P24 P26:P29 P31:P32 P34:P35" showDropDown="0" showInputMessage="0" showErrorMessage="1" allowBlank="1" errorTitle="Estado no válido" error="Seleccione Pendiente, En curso o Cerrada." type="list">
      <formula1>=Escala!$I$5:$I$7</formula1>
    </dataValidation>
  </dataValidations>
  <pageMargins left="0.75" right="0.75" top="1" bottom="1" header="0.5" footer="0.5"/>
  <pageSetup orientation="landscape" fitToHeight="0" fitToWidth="1"/>
  <headerFooter>
    <oddHeader>&amp;L&amp;"Georgia,Bold"&amp;KA12B22Criterio Compliance&amp;R&amp;K57534A&amp;A</oddHeader>
    <oddFooter>&amp;L&amp;8 &amp;K57534Acriteriocompliance.com · Herramienta orientativa: no reemplaza la asesoría profesional&amp;R&amp;8 Pág. &amp;P de &amp;N</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857F72"/>
    <outlinePr summaryBelow="1" summaryRight="1"/>
    <pageSetUpPr fitToPage="1"/>
  </sheetPr>
  <dimension ref="A1:I26"/>
  <sheetViews>
    <sheetView showGridLines="0" workbookViewId="0">
      <selection activeCell="A1" sqref="A1"/>
    </sheetView>
  </sheetViews>
  <sheetFormatPr baseColWidth="8" defaultRowHeight="15"/>
  <cols>
    <col width="2" customWidth="1" min="1" max="1"/>
    <col width="26" customWidth="1" min="2" max="2"/>
    <col width="10" customWidth="1" min="3" max="3"/>
    <col width="78" customWidth="1" min="4" max="4"/>
    <col width="3" customWidth="1" min="5" max="5"/>
    <col width="16" customWidth="1" min="6" max="6"/>
    <col width="5" customWidth="1" min="7" max="7"/>
    <col width="16" customWidth="1" min="8" max="8"/>
    <col width="12" customWidth="1" min="9" max="9"/>
  </cols>
  <sheetData>
    <row r="1">
      <c r="A1" s="108" t="n"/>
      <c r="B1" s="177" t="inlineStr">
        <is>
          <t>Escala de calificación, semáforo y pesos</t>
        </is>
      </c>
      <c r="C1" s="108" t="n"/>
      <c r="D1" s="108" t="n"/>
      <c r="E1" s="108" t="n"/>
      <c r="F1" s="108" t="n"/>
      <c r="G1" s="108" t="n"/>
      <c r="H1" s="108" t="n"/>
      <c r="I1" s="108" t="n"/>
    </row>
    <row r="2">
      <c r="A2" s="108" t="n"/>
      <c r="B2" s="112" t="inlineStr">
        <is>
          <t>Celdas amarillas editables. Los estados alimentan las listas desplegables de las matrices.</t>
        </is>
      </c>
      <c r="C2" s="108" t="n"/>
      <c r="D2" s="108" t="n"/>
      <c r="E2" s="108" t="n"/>
      <c r="F2" s="108" t="n"/>
      <c r="G2" s="108" t="n"/>
      <c r="H2" s="108" t="n"/>
      <c r="I2" s="108" t="n"/>
    </row>
    <row r="3">
      <c r="A3" s="108" t="n"/>
      <c r="B3" s="129" t="inlineStr">
        <is>
          <t>Criterio Compliance · criteriocompliance.com   ·   Herramienta orientativa de autodiagnóstico. No reemplaza la asesoría de un profesional ni constituye una certificación de cumplimiento.</t>
        </is>
      </c>
    </row>
    <row r="4" ht="24" customHeight="1">
      <c r="A4" s="108" t="n"/>
      <c r="B4" s="200" t="inlineStr">
        <is>
          <t>Estado de cumplimiento</t>
        </is>
      </c>
      <c r="C4" s="201" t="inlineStr">
        <is>
          <t>Valor</t>
        </is>
      </c>
      <c r="D4" s="200" t="inlineStr">
        <is>
          <t>Criterio para asignarlo</t>
        </is>
      </c>
      <c r="E4" s="108" t="n"/>
      <c r="F4" s="202" t="inlineStr">
        <is>
          <t>Listas internas (no editar)</t>
        </is>
      </c>
      <c r="G4" s="108" t="n"/>
      <c r="H4" s="108" t="n"/>
      <c r="I4" s="108" t="n"/>
    </row>
    <row r="5" ht="32" customHeight="1">
      <c r="A5" s="108" t="n"/>
      <c r="B5" s="203" t="inlineStr">
        <is>
          <t>Cumple totalmente</t>
        </is>
      </c>
      <c r="C5" s="197" t="n">
        <v>1</v>
      </c>
      <c r="D5" s="117" t="inlineStr">
        <is>
          <t>Documentado, aprobado por el órgano competente, implementado y con evidencia de operación en el periodo evaluado.</t>
        </is>
      </c>
      <c r="E5" s="108" t="n"/>
      <c r="F5" s="199" t="inlineStr">
        <is>
          <t>Sistema de Autocontrol y Gestión LA/FT/FP y C/ST</t>
        </is>
      </c>
      <c r="G5" s="199" t="inlineStr">
        <is>
          <t>Sí</t>
        </is>
      </c>
      <c r="H5" s="199" t="inlineStr">
        <is>
          <t>Sociedad, empresa unipersonal o sucursal</t>
        </is>
      </c>
      <c r="I5" s="199" t="inlineStr">
        <is>
          <t>Pendiente</t>
        </is>
      </c>
    </row>
    <row r="6" ht="32" customHeight="1">
      <c r="A6" s="108" t="n"/>
      <c r="B6" s="204" t="inlineStr">
        <is>
          <t>Cumple en gran medida</t>
        </is>
      </c>
      <c r="C6" s="197" t="n">
        <v>0.75</v>
      </c>
      <c r="D6" s="117" t="inlineStr">
        <is>
          <t>Documentado e implementado; falta una evidencia menor, una actualización o una formalidad (p. ej., acta pendiente de firma).</t>
        </is>
      </c>
      <c r="E6" s="108" t="n"/>
      <c r="F6" s="199" t="inlineStr">
        <is>
          <t>Régimen de Medidas Mínimas (RMM)</t>
        </is>
      </c>
      <c r="G6" s="199" t="inlineStr">
        <is>
          <t>No</t>
        </is>
      </c>
      <c r="H6" s="199" t="inlineStr">
        <is>
          <t>Cámara de comercio</t>
        </is>
      </c>
      <c r="I6" s="199" t="inlineStr">
        <is>
          <t>En curso</t>
        </is>
      </c>
    </row>
    <row r="7" ht="32" customHeight="1">
      <c r="A7" s="108" t="n"/>
      <c r="B7" s="205" t="inlineStr">
        <is>
          <t>Cumple parcialmente</t>
        </is>
      </c>
      <c r="C7" s="197" t="n">
        <v>0.5</v>
      </c>
      <c r="D7" s="117" t="inlineStr">
        <is>
          <t>Documentado, pero con implementación parcial o sin evidencia suficiente de que opere.</t>
        </is>
      </c>
      <c r="E7" s="108" t="n"/>
      <c r="F7" s="199" t="n"/>
      <c r="G7" s="199" t="n"/>
      <c r="H7" s="199" t="inlineStr">
        <is>
          <t>Confecámaras</t>
        </is>
      </c>
      <c r="I7" s="199" t="inlineStr">
        <is>
          <t>Cerrada</t>
        </is>
      </c>
    </row>
    <row r="8" ht="32" customHeight="1">
      <c r="A8" s="108" t="n"/>
      <c r="B8" s="206" t="inlineStr">
        <is>
          <t>Cumplimiento incipiente</t>
        </is>
      </c>
      <c r="C8" s="197" t="n">
        <v>0.25</v>
      </c>
      <c r="D8" s="117" t="inlineStr">
        <is>
          <t>En diseño o borrador, o existe solo una práctica informal sin documentar.</t>
        </is>
      </c>
      <c r="E8" s="108" t="n"/>
      <c r="F8" s="108" t="n"/>
      <c r="G8" s="108" t="n"/>
      <c r="H8" s="108" t="n"/>
      <c r="I8" s="108" t="n"/>
    </row>
    <row r="9" ht="32" customHeight="1">
      <c r="A9" s="108" t="n"/>
      <c r="B9" s="207" t="inlineStr">
        <is>
          <t>No cumple</t>
        </is>
      </c>
      <c r="C9" s="197" t="n">
        <v>0</v>
      </c>
      <c r="D9" s="117" t="inlineStr">
        <is>
          <t>No existe documento ni práctica.</t>
        </is>
      </c>
      <c r="E9" s="108" t="n"/>
      <c r="F9" s="108" t="n"/>
      <c r="G9" s="108" t="n"/>
      <c r="H9" s="108" t="n"/>
      <c r="I9" s="108" t="n"/>
    </row>
    <row r="10" ht="32" customHeight="1">
      <c r="A10" s="108" t="n"/>
      <c r="B10" s="208" t="inlineStr">
        <is>
          <t>No aplica</t>
        </is>
      </c>
      <c r="C10" s="209" t="inlineStr">
        <is>
          <t>N/A</t>
        </is>
      </c>
      <c r="D10" s="117" t="inlineStr">
        <is>
          <t>El supuesto no se presenta en la empresa (justifíquelo en la columna de evidencia). Se excluye del cálculo.</t>
        </is>
      </c>
      <c r="E10" s="108" t="n"/>
      <c r="F10" s="108" t="n"/>
      <c r="G10" s="108" t="n"/>
      <c r="H10" s="108" t="n"/>
      <c r="I10" s="108" t="n"/>
    </row>
    <row r="11">
      <c r="A11" s="108" t="n"/>
      <c r="B11" s="108" t="n"/>
      <c r="C11" s="108" t="n"/>
      <c r="D11" s="108" t="n"/>
      <c r="E11" s="108" t="n"/>
      <c r="F11" s="108" t="n"/>
      <c r="G11" s="108" t="n"/>
      <c r="H11" s="108" t="n"/>
      <c r="I11" s="108" t="n"/>
    </row>
    <row r="12">
      <c r="A12" s="108" t="n"/>
      <c r="B12" s="147" t="inlineStr">
        <is>
          <t>Semáforo (umbral mínimo)</t>
        </is>
      </c>
      <c r="C12" s="108" t="n"/>
      <c r="D12" s="108" t="n"/>
      <c r="E12" s="108" t="n"/>
      <c r="F12" s="108" t="n"/>
      <c r="G12" s="108" t="n"/>
      <c r="H12" s="108" t="n"/>
      <c r="I12" s="108" t="n"/>
    </row>
    <row r="13">
      <c r="A13" s="108" t="n"/>
      <c r="B13" s="201" t="inlineStr">
        <is>
          <t>Nivel</t>
        </is>
      </c>
      <c r="C13" s="201" t="inlineStr">
        <is>
          <t>Desde</t>
        </is>
      </c>
      <c r="D13" s="108" t="n"/>
      <c r="E13" s="108" t="n"/>
      <c r="F13" s="108" t="n"/>
      <c r="G13" s="108" t="n"/>
      <c r="H13" s="108" t="n"/>
      <c r="I13" s="108" t="n"/>
    </row>
    <row r="14" ht="20" customHeight="1">
      <c r="A14" s="108" t="n"/>
      <c r="B14" s="203" t="inlineStr">
        <is>
          <t>Adecuado</t>
        </is>
      </c>
      <c r="C14" s="210" t="n">
        <v>0.9</v>
      </c>
      <c r="D14" s="108" t="n"/>
      <c r="E14" s="108" t="n"/>
      <c r="F14" s="108" t="n"/>
      <c r="G14" s="108" t="n"/>
      <c r="H14" s="108" t="n"/>
      <c r="I14" s="108" t="n"/>
    </row>
    <row r="15" ht="20" customHeight="1">
      <c r="A15" s="108" t="n"/>
      <c r="B15" s="205" t="inlineStr">
        <is>
          <t>Aceptable</t>
        </is>
      </c>
      <c r="C15" s="210" t="n">
        <v>0.7</v>
      </c>
      <c r="D15" s="108" t="n"/>
      <c r="E15" s="108" t="n"/>
      <c r="F15" s="108" t="n"/>
      <c r="G15" s="108" t="n"/>
      <c r="H15" s="108" t="n"/>
      <c r="I15" s="108" t="n"/>
    </row>
    <row r="16" ht="20" customHeight="1">
      <c r="A16" s="108" t="n"/>
      <c r="B16" s="206" t="inlineStr">
        <is>
          <t>En desarrollo</t>
        </is>
      </c>
      <c r="C16" s="210" t="n">
        <v>0.5</v>
      </c>
      <c r="D16" s="108" t="n"/>
      <c r="E16" s="108" t="n"/>
      <c r="F16" s="108" t="n"/>
      <c r="G16" s="108" t="n"/>
      <c r="H16" s="108" t="n"/>
      <c r="I16" s="108" t="n"/>
    </row>
    <row r="17" ht="20" customHeight="1">
      <c r="A17" s="108" t="n"/>
      <c r="B17" s="207" t="inlineStr">
        <is>
          <t>Crítico</t>
        </is>
      </c>
      <c r="C17" s="211" t="n">
        <v>0</v>
      </c>
      <c r="D17" s="108" t="n"/>
      <c r="E17" s="108" t="n"/>
      <c r="F17" s="108" t="n"/>
      <c r="G17" s="108" t="n"/>
      <c r="H17" s="108" t="n"/>
      <c r="I17" s="108" t="n"/>
    </row>
    <row r="18">
      <c r="A18" s="108" t="n"/>
      <c r="B18" s="108" t="n"/>
      <c r="C18" s="108" t="n"/>
      <c r="D18" s="108" t="n"/>
      <c r="E18" s="108" t="n"/>
      <c r="F18" s="108" t="n"/>
      <c r="G18" s="108" t="n"/>
      <c r="H18" s="108" t="n"/>
      <c r="I18" s="108" t="n"/>
    </row>
    <row r="19">
      <c r="A19" s="108" t="n"/>
      <c r="B19" s="147" t="inlineStr">
        <is>
          <t>Peso de cada requisito</t>
        </is>
      </c>
      <c r="C19" s="108" t="n"/>
      <c r="D19" s="108" t="n"/>
      <c r="E19" s="108" t="n"/>
      <c r="F19" s="108" t="n"/>
      <c r="G19" s="108" t="n"/>
      <c r="H19" s="108" t="n"/>
      <c r="I19" s="108" t="n"/>
    </row>
    <row r="20">
      <c r="A20" s="108" t="n"/>
      <c r="B20" s="201" t="inlineStr">
        <is>
          <t>Peso</t>
        </is>
      </c>
      <c r="C20" s="200" t="inlineStr">
        <is>
          <t>Significado</t>
        </is>
      </c>
      <c r="D20" s="108" t="n"/>
      <c r="E20" s="108" t="n"/>
      <c r="F20" s="108" t="n"/>
      <c r="G20" s="108" t="n"/>
      <c r="H20" s="108" t="n"/>
      <c r="I20" s="108" t="n"/>
    </row>
    <row r="21" ht="30" customHeight="1">
      <c r="A21" s="108" t="n"/>
      <c r="B21" s="212" t="n">
        <v>0</v>
      </c>
      <c r="C21" s="117" t="inlineStr">
        <is>
          <t>Recomendación: la Circular la sugiere pero no la exige. Se califica para seguimiento, pero no suma ni resta al porcentaje.</t>
        </is>
      </c>
      <c r="D21" s="118" t="n"/>
      <c r="E21" s="108" t="n"/>
      <c r="F21" s="108" t="n"/>
      <c r="G21" s="108" t="n"/>
      <c r="H21" s="108" t="n"/>
      <c r="I21" s="108" t="n"/>
    </row>
    <row r="22" ht="30" customHeight="1">
      <c r="A22" s="108" t="n"/>
      <c r="B22" s="212" t="n">
        <v>3</v>
      </c>
      <c r="C22" s="117" t="inlineStr">
        <is>
          <t>Crítico: obligación expresa del núcleo del Sistema, con plazo o exposición sancionatoria directa (aprobaciones, Oficial de Cumplimiento, ROS/AROS, debida diligencia, matriz de riesgos).</t>
        </is>
      </c>
      <c r="D22" s="118" t="n"/>
      <c r="E22" s="108" t="n"/>
      <c r="F22" s="108" t="n"/>
      <c r="G22" s="108" t="n"/>
      <c r="H22" s="108" t="n"/>
      <c r="I22" s="108" t="n"/>
    </row>
    <row r="23" ht="30" customHeight="1">
      <c r="A23" s="108" t="n"/>
      <c r="B23" s="212" t="n">
        <v>2</v>
      </c>
      <c r="C23" s="117" t="inlineStr">
        <is>
          <t>Importante: obligación expresa que soporta el funcionamiento del Sistema.</t>
        </is>
      </c>
      <c r="D23" s="118" t="n"/>
      <c r="E23" s="108" t="n"/>
      <c r="F23" s="108" t="n"/>
      <c r="G23" s="108" t="n"/>
      <c r="H23" s="108" t="n"/>
      <c r="I23" s="108" t="n"/>
    </row>
    <row r="24" ht="30" customHeight="1">
      <c r="A24" s="108" t="n"/>
      <c r="B24" s="212" t="n">
        <v>1</v>
      </c>
      <c r="C24" s="117" t="inlineStr">
        <is>
          <t>Complementario: aplica solo en ciertos supuestos o es una recomendación de la Circular.</t>
        </is>
      </c>
      <c r="D24" s="118" t="n"/>
      <c r="E24" s="108" t="n"/>
      <c r="F24" s="108" t="n"/>
      <c r="G24" s="108" t="n"/>
      <c r="H24" s="108" t="n"/>
      <c r="I24" s="108" t="n"/>
    </row>
    <row r="25">
      <c r="A25" s="108" t="n"/>
      <c r="B25" s="108" t="n"/>
      <c r="C25" s="108" t="n"/>
      <c r="D25" s="108" t="n"/>
      <c r="E25" s="108" t="n"/>
      <c r="F25" s="108" t="n"/>
      <c r="G25" s="108" t="n"/>
      <c r="H25" s="108" t="n"/>
      <c r="I25" s="108" t="n"/>
    </row>
    <row r="26">
      <c r="A26" s="108" t="n"/>
      <c r="B26" s="112" t="inlineStr">
        <is>
          <t>Puede cambiar el peso de cada requisito en la columna 'Peso' de las matrices (0 a 3).</t>
        </is>
      </c>
      <c r="C26" s="108" t="n"/>
      <c r="D26" s="108" t="n"/>
      <c r="E26" s="108" t="n"/>
      <c r="F26" s="108" t="n"/>
      <c r="G26" s="108" t="n"/>
      <c r="H26" s="108" t="n"/>
      <c r="I26" s="108" t="n"/>
    </row>
  </sheetData>
  <mergeCells count="6">
    <mergeCell ref="C20:D20"/>
    <mergeCell ref="C24:D24"/>
    <mergeCell ref="C21:D21"/>
    <mergeCell ref="B3:I3"/>
    <mergeCell ref="C22:D22"/>
    <mergeCell ref="C23:D23"/>
  </mergeCells>
  <pageMargins left="0.75" right="0.75" top="1" bottom="1" header="0.5" footer="0.5"/>
  <pageSetup fitToHeight="0" fitToWidth="1"/>
  <headerFooter>
    <oddHeader>&amp;L&amp;"Georgia,Bold"&amp;KA12B22Criterio Compliance&amp;R&amp;K57534A&amp;A</oddHeader>
    <oddFooter>&amp;L&amp;8 &amp;K57534Acriteriocompliance.com · Herramienta orientativa: no reemplaza la asesoría profesional&amp;R&amp;8 Pág. &amp;P de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Criterio Compliance</dc:creator>
  <dc:title xmlns:dc="http://purl.org/dc/elements/1.1/">Matriz de cumplimiento Capítulo IX · CE 100-000020 de 2026</dc:title>
  <dc:description xmlns:dc="http://purl.org/dc/elements/1.1/">Herramienta orientativa. No reemplaza la asesoría profesional. criteriocompliance.com</dc:description>
  <dc:subject xmlns:dc="http://purl.org/dc/elements/1.1/">Autodiagnóstico del Sistema de Autocontrol y Gestión de Riesgos LA/FT/FP y C/ST</dc:subject>
  <dcterms:created xmlns:dcterms="http://purl.org/dc/terms/" xmlns:xsi="http://www.w3.org/2001/XMLSchema-instance" xsi:type="dcterms:W3CDTF">2026-10-12T00:00:00Z</dcterms:created>
  <dcterms:modified xmlns:dcterms="http://purl.org/dc/terms/" xmlns:xsi="http://www.w3.org/2001/XMLSchema-instance" xsi:type="dcterms:W3CDTF">2026-10-12T00:43:52Z</dcterms:modified>
  <cp:lastModifiedBy>Criterio Compliance</cp:lastModifiedBy>
  <cp:keywords>SAGRILAFT, PTEE, Supersociedades, Circular 100-000020 de 2026, matriz de cumplimiento</cp:keywords>
</cp:coreProperties>
</file>