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omments/comment1.xml" ContentType="application/vnd.openxmlformats-officedocument.spreadsheetml.comments+xml"/>
  <Override PartName="/xl/worksheets/sheet5.xml" ContentType="application/vnd.openxmlformats-officedocument.spreadsheetml.worksheet+xml"/>
  <Override PartName="/xl/comments/comment2.xml" ContentType="application/vnd.openxmlformats-officedocument.spreadsheetml.comments+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ciones" sheetId="1" state="visible" r:id="rId1"/>
    <sheet xmlns:r="http://schemas.openxmlformats.org/officeDocument/2006/relationships" name="Tablero" sheetId="2" state="visible" r:id="rId2"/>
    <sheet xmlns:r="http://schemas.openxmlformats.org/officeDocument/2006/relationships" name="Ámbito de aplicación" sheetId="3" state="visible" r:id="rId3"/>
    <sheet xmlns:r="http://schemas.openxmlformats.org/officeDocument/2006/relationships" name="Matriz Sistema" sheetId="4" state="visible" r:id="rId4"/>
    <sheet xmlns:r="http://schemas.openxmlformats.org/officeDocument/2006/relationships" name="Matriz RMM" sheetId="5" state="visible" r:id="rId5"/>
    <sheet xmlns:r="http://schemas.openxmlformats.org/officeDocument/2006/relationships" name="Escala" sheetId="6" state="visible" r:id="rId6"/>
  </sheets>
  <definedNames>
    <definedName name="_xlnm._FilterDatabase" localSheetId="3" hidden="1">'Matriz Sistema'!$A$6:$P$136</definedName>
    <definedName name="_xlnm.Print_Titles" localSheetId="3">'Matriz Sistema'!$5:$6</definedName>
    <definedName name="_xlnm._FilterDatabase" localSheetId="4" hidden="1">'Matriz RMM'!$A$6:$P$35</definedName>
    <definedName name="_xlnm.Print_Titles" localSheetId="4">'Matriz RMM'!$5:$6</definedName>
  </definedNames>
  <calcPr calcId="124519" fullCalcOnLoad="1"/>
</workbook>
</file>

<file path=xl/styles.xml><?xml version="1.0" encoding="utf-8"?>
<styleSheet xmlns="http://schemas.openxmlformats.org/spreadsheetml/2006/main">
  <numFmts count="3">
    <numFmt numFmtId="164" formatCode="dd/mm/yyyy"/>
    <numFmt numFmtId="165" formatCode="0.0%"/>
    <numFmt numFmtId="166" formatCode="&quot;Comp. &quot;0%"/>
  </numFmts>
  <fonts count="107">
    <font>
      <name val="Calibri"/>
      <family val="2"/>
      <color theme="1"/>
      <sz val="11"/>
      <scheme val="minor"/>
    </font>
    <font>
      <name val="Arial"/>
      <b val="1"/>
      <color rgb="001F3A5F"/>
      <sz val="16"/>
    </font>
    <font>
      <name val="Arial"/>
      <i val="1"/>
      <color rgb="006B7785"/>
      <sz val="9"/>
    </font>
    <font>
      <name val="Arial"/>
      <b val="1"/>
      <color rgb="00FFFFFF"/>
      <sz val="10"/>
    </font>
    <font>
      <name val="Arial"/>
      <b val="1"/>
      <color rgb="001E6B3A"/>
      <sz val="10"/>
    </font>
    <font>
      <name val="Arial"/>
      <b val="1"/>
      <color rgb="001F2933"/>
      <sz val="10"/>
    </font>
    <font>
      <name val="Arial"/>
      <color rgb="001F2933"/>
      <sz val="9.5"/>
    </font>
    <font>
      <name val="Arial"/>
      <b val="1"/>
      <color rgb="003D6B1E"/>
      <sz val="10"/>
    </font>
    <font>
      <name val="Arial"/>
      <b val="1"/>
      <color rgb="007A5600"/>
      <sz val="10"/>
    </font>
    <font>
      <name val="Arial"/>
      <b val="1"/>
      <color rgb="008A4B0F"/>
      <sz val="10"/>
    </font>
    <font>
      <name val="Arial"/>
      <b val="1"/>
      <color rgb="009B1C24"/>
      <sz val="10"/>
    </font>
    <font>
      <name val="Arial"/>
      <b val="1"/>
      <color rgb="00777777"/>
      <sz val="10"/>
    </font>
    <font>
      <name val="Arial"/>
      <b val="1"/>
      <color rgb="001F3A5F"/>
      <sz val="12"/>
    </font>
    <font>
      <name val="Arial"/>
      <b val="1"/>
      <color rgb="000000FF"/>
      <sz val="10"/>
    </font>
    <font>
      <name val="Arial"/>
      <b val="1"/>
      <color rgb="006B7785"/>
      <sz val="10"/>
    </font>
    <font>
      <name val="Arial"/>
      <b val="1"/>
      <color rgb="001F3A5F"/>
      <sz val="11"/>
    </font>
    <font>
      <name val="Arial"/>
      <b val="1"/>
      <color rgb="00A0A0A0"/>
      <sz val="8"/>
    </font>
    <font>
      <name val="Arial"/>
      <color rgb="00A0A0A0"/>
      <sz val="8"/>
    </font>
    <font>
      <name val="Arial"/>
      <b val="1"/>
      <color rgb="001F3A5F"/>
      <sz val="10.5"/>
    </font>
    <font>
      <name val="Arial"/>
      <b val="1"/>
      <color rgb="00FFFFFF"/>
      <sz val="9"/>
    </font>
    <font>
      <name val="Arial"/>
      <b val="1"/>
      <color rgb="00FFFFFF"/>
      <sz val="9.5"/>
    </font>
    <font>
      <name val="Arial"/>
      <b val="1"/>
      <color rgb="001F3A5F"/>
      <sz val="9"/>
    </font>
    <font>
      <name val="Arial"/>
      <color rgb="001F2933"/>
      <sz val="9"/>
    </font>
    <font>
      <name val="Arial"/>
      <color rgb="006B7785"/>
      <sz val="9"/>
    </font>
    <font>
      <name val="Arial"/>
      <color rgb="001F2933"/>
      <sz val="10"/>
    </font>
    <font>
      <name val="Arial"/>
      <color rgb="000000FF"/>
      <sz val="9"/>
    </font>
    <font>
      <name val="Arial"/>
      <b val="1"/>
      <color rgb="001F3A5F"/>
      <sz val="18"/>
    </font>
    <font>
      <name val="Arial"/>
      <i val="1"/>
      <color rgb="006B7785"/>
      <sz val="9.5"/>
    </font>
    <font>
      <name val="Arial"/>
      <b val="1"/>
      <color rgb="006B7785"/>
      <sz val="8.5"/>
    </font>
    <font>
      <name val="Arial"/>
      <b val="1"/>
      <color rgb="0056626F"/>
      <sz val="9.5"/>
    </font>
    <font>
      <name val="Arial"/>
      <color rgb="000000FF"/>
      <sz val="9.5"/>
    </font>
    <font>
      <name val="Arial"/>
      <color rgb="006B7785"/>
      <sz val="10"/>
    </font>
    <font>
      <name val="Arial"/>
      <b val="1"/>
      <color rgb="001F3A5F"/>
      <sz val="10"/>
    </font>
    <font>
      <name val="Arial"/>
      <i val="1"/>
      <color rgb="006B7785"/>
      <sz val="8.5"/>
    </font>
    <font>
      <name val="Arial"/>
      <b val="1"/>
      <color rgb="006B7785"/>
      <sz val="8"/>
    </font>
    <font>
      <name val="Arial"/>
      <b val="1"/>
      <color rgb="001F3A5F"/>
      <sz val="24"/>
    </font>
    <font>
      <name val="Arial"/>
      <color rgb="006B7785"/>
      <sz val="8.5"/>
    </font>
    <font>
      <name val="Arial"/>
      <b val="1"/>
      <color rgb="002F6F6A"/>
      <sz val="24"/>
    </font>
    <font>
      <name val="Arial"/>
      <b val="1"/>
      <color rgb="009B1C24"/>
      <sz val="24"/>
    </font>
    <font>
      <name val="Arial"/>
      <b val="1"/>
      <color rgb="0056626F"/>
      <sz val="24"/>
    </font>
    <font>
      <name val="Arial"/>
      <b val="1"/>
      <color rgb="0056626F"/>
      <sz val="9"/>
    </font>
    <font>
      <name val="Arial"/>
      <i val="1"/>
      <color rgb="00C00000"/>
      <sz val="8.5"/>
    </font>
    <font>
      <name val="Arial"/>
      <b val="1"/>
      <color rgb="000000FF"/>
      <sz val="9"/>
    </font>
    <font>
      <name val="Arial"/>
      <b val="1"/>
      <color rgb="00A0A0A0"/>
      <sz val="9"/>
    </font>
    <font>
      <name val="Arial"/>
      <b val="1"/>
      <color rgb="001E6B3A"/>
      <sz val="9"/>
    </font>
    <font>
      <name val="Arial"/>
      <i val="1"/>
      <color rgb="006B7785"/>
      <sz val="8"/>
    </font>
    <font>
      <name val="Arial"/>
      <b val="1"/>
      <color rgb="006B7785"/>
      <sz val="9.5"/>
    </font>
    <font>
      <name val="Arial"/>
      <b val="1"/>
      <color rgb="00FFFFFF"/>
      <sz val="12"/>
    </font>
    <font>
      <name val="Arial"/>
      <b val="1"/>
      <color rgb="00C00000"/>
      <sz val="9"/>
    </font>
    <font>
      <name val="Arial"/>
      <i val="1"/>
      <color rgb="006B7785"/>
      <sz val="10"/>
    </font>
    <font>
      <name val="Arial"/>
      <b val="1"/>
      <color rgb="000000FF"/>
      <sz val="9.5"/>
    </font>
    <font>
      <name val="Arial"/>
      <b val="1"/>
      <color rgb="001F3A5F"/>
      <sz val="9.5"/>
    </font>
    <font>
      <name val="Arial"/>
      <b val="1"/>
      <color rgb="001F2933"/>
      <sz val="9.5"/>
    </font>
    <font>
      <name val="Arial"/>
      <b val="1"/>
      <color rgb="007A5600"/>
      <sz val="9"/>
    </font>
    <font>
      <name val="Calibri"/>
      <sz val="11"/>
    </font>
    <font>
      <name val="Georgia"/>
      <b val="1"/>
      <color rgb="001B1A17"/>
      <sz val="20"/>
    </font>
    <font>
      <name val="Calibri"/>
      <i val="1"/>
      <color rgb="0057534A"/>
      <sz val="10"/>
    </font>
    <font>
      <name val="Calibri"/>
      <color rgb="001B1A17"/>
      <sz val="10"/>
    </font>
    <font>
      <name val="Calibri"/>
      <b val="1"/>
      <color rgb="00F3EEE3"/>
      <sz val="9"/>
    </font>
    <font>
      <name val="Calibri"/>
      <b val="1"/>
      <color rgb="00A12B22"/>
      <sz val="10"/>
    </font>
    <font>
      <name val="Calibri"/>
      <color rgb="001B1A17"/>
      <sz val="9.5"/>
    </font>
    <font>
      <name val="Calibri"/>
      <b val="1"/>
      <color rgb="001F5FA8"/>
      <sz val="9.5"/>
    </font>
    <font>
      <name val="Calibri"/>
      <b val="1"/>
      <color rgb="001B1A17"/>
      <sz val="9.5"/>
    </font>
    <font>
      <name val="Calibri"/>
      <b val="1"/>
      <color rgb="0057534A"/>
      <sz val="9"/>
    </font>
    <font>
      <name val="Calibri"/>
      <color rgb="001F5FA8"/>
      <sz val="9"/>
    </font>
    <font>
      <name val="Calibri"/>
      <b val="1"/>
      <color rgb="007A5A0F"/>
      <sz val="9"/>
    </font>
    <font>
      <name val="Calibri"/>
      <i val="1"/>
      <color rgb="0057534A"/>
      <sz val="9.5"/>
    </font>
    <font>
      <name val="Calibri"/>
      <b val="1"/>
      <color rgb="0057534A"/>
      <sz val="8.5"/>
    </font>
    <font>
      <name val="Calibri"/>
      <b val="1"/>
      <color rgb="0057534A"/>
      <sz val="9.5"/>
    </font>
    <font>
      <name val="Calibri"/>
      <color rgb="001F5FA8"/>
      <sz val="9.5"/>
    </font>
    <font>
      <name val="Calibri"/>
      <b val="1"/>
      <color rgb="0057534A"/>
      <sz val="8"/>
    </font>
    <font>
      <name val="Calibri"/>
      <color rgb="0057534A"/>
      <sz val="9"/>
    </font>
    <font>
      <name val="Georgia"/>
      <b val="1"/>
      <color rgb="001B1A17"/>
      <sz val="26"/>
    </font>
    <font>
      <name val="Calibri"/>
      <b val="1"/>
      <color rgb="002F6F6A"/>
      <sz val="24"/>
    </font>
    <font>
      <name val="Calibri"/>
      <b val="1"/>
      <color rgb="00A12B22"/>
      <sz val="24"/>
    </font>
    <font>
      <name val="Calibri"/>
      <b val="1"/>
      <color rgb="0057534A"/>
      <sz val="24"/>
    </font>
    <font>
      <name val="Calibri"/>
      <color rgb="0057534A"/>
      <sz val="8.5"/>
    </font>
    <font>
      <name val="Georgia"/>
      <b val="1"/>
      <color rgb="001B1A17"/>
      <sz val="14"/>
    </font>
    <font>
      <name val="Calibri"/>
      <color rgb="0057534A"/>
      <sz val="10"/>
    </font>
    <font>
      <name val="Calibri"/>
      <b val="1"/>
      <color rgb="001B1A17"/>
      <sz val="10"/>
    </font>
    <font>
      <name val="Calibri"/>
      <i val="1"/>
      <color rgb="0057534A"/>
      <sz val="8.5"/>
    </font>
    <font>
      <name val="Calibri"/>
      <i val="1"/>
      <color rgb="0057534A"/>
      <sz val="9"/>
    </font>
    <font>
      <name val="Calibri"/>
      <b val="1"/>
      <color rgb="001F5FA8"/>
      <sz val="10"/>
    </font>
    <font>
      <name val="Calibri"/>
      <color rgb="001B1A17"/>
      <sz val="9"/>
    </font>
    <font>
      <name val="Calibri"/>
      <b val="1"/>
      <color rgb="001F5FA8"/>
      <sz val="9"/>
    </font>
    <font>
      <name val="Calibri"/>
      <i val="1"/>
      <color rgb="00C00000"/>
      <sz val="8.5"/>
    </font>
    <font>
      <name val="Calibri"/>
      <b val="1"/>
      <color rgb="00857F72"/>
      <sz val="9"/>
    </font>
    <font>
      <name val="Calibri"/>
      <b val="1"/>
      <color rgb="003D6B47"/>
      <sz val="9"/>
    </font>
    <font>
      <name val="Calibri"/>
      <i val="1"/>
      <color rgb="0057534A"/>
      <sz val="8"/>
    </font>
    <font>
      <name val="Calibri"/>
      <b val="1"/>
      <color rgb="00F3EEE3"/>
      <sz val="12"/>
    </font>
    <font>
      <name val="Calibri"/>
      <b val="1"/>
      <color rgb="00C00000"/>
      <sz val="9"/>
    </font>
    <font>
      <name val="Georgia"/>
      <b val="1"/>
      <color rgb="001B1A17"/>
      <sz val="18"/>
    </font>
    <font>
      <name val="Calibri"/>
      <b val="1"/>
      <color rgb="001B1A17"/>
      <sz val="10.5"/>
    </font>
    <font>
      <name val="Calibri"/>
      <b val="1"/>
      <color rgb="00F3EEE3"/>
      <sz val="9.5"/>
    </font>
    <font>
      <name val="Calibri"/>
      <b val="1"/>
      <color rgb="00A12B22"/>
      <sz val="9"/>
    </font>
    <font>
      <name val="Calibri"/>
      <color rgb="00857F72"/>
      <sz val="8"/>
    </font>
    <font>
      <name val="Calibri"/>
      <b val="1"/>
      <color rgb="00F3EEE3"/>
      <sz val="10"/>
    </font>
    <font>
      <name val="Calibri"/>
      <b val="1"/>
      <color rgb="00857F72"/>
      <sz val="8"/>
    </font>
    <font>
      <name val="Calibri"/>
      <b val="1"/>
      <color rgb="003D6B47"/>
      <sz val="10"/>
    </font>
    <font>
      <name val="Calibri"/>
      <b val="1"/>
      <color rgb="004F6B2A"/>
      <sz val="10"/>
    </font>
    <font>
      <name val="Calibri"/>
      <b val="1"/>
      <color rgb="007A5A0F"/>
      <sz val="10"/>
    </font>
    <font>
      <name val="Calibri"/>
      <b val="1"/>
      <color rgb="008A4B0F"/>
      <sz val="10"/>
    </font>
    <font>
      <name val="Calibri"/>
      <b val="1"/>
      <color rgb="00857F72"/>
      <sz val="10"/>
    </font>
    <font>
      <name val="Calibri"/>
      <b val="1"/>
      <color rgb="0057534A"/>
      <sz val="10"/>
    </font>
    <font>
      <name val="Calibri"/>
      <b val="1"/>
      <color rgb="00A12B22"/>
      <sz val="11"/>
    </font>
    <font>
      <name val="Consolas"/>
      <b val="1"/>
      <color rgb="001B1A17"/>
      <sz val="9"/>
    </font>
    <font>
      <name val="Consolas"/>
      <color rgb="00A12B22"/>
      <sz val="9"/>
    </font>
  </fonts>
  <fills count="29">
    <fill>
      <patternFill/>
    </fill>
    <fill>
      <patternFill patternType="gray125"/>
    </fill>
    <fill>
      <patternFill patternType="solid">
        <fgColor rgb="001F3A5F"/>
        <bgColor rgb="001F3A5F"/>
      </patternFill>
    </fill>
    <fill>
      <patternFill patternType="solid">
        <fgColor rgb="00D8EFE0"/>
        <bgColor rgb="00D8EFE0"/>
      </patternFill>
    </fill>
    <fill>
      <patternFill patternType="solid">
        <fgColor rgb="00E7F3DA"/>
        <bgColor rgb="00E7F3DA"/>
      </patternFill>
    </fill>
    <fill>
      <patternFill patternType="solid">
        <fgColor rgb="00FFF1CC"/>
        <bgColor rgb="00FFF1CC"/>
      </patternFill>
    </fill>
    <fill>
      <patternFill patternType="solid">
        <fgColor rgb="00FDE2C8"/>
        <bgColor rgb="00FDE2C8"/>
      </patternFill>
    </fill>
    <fill>
      <patternFill patternType="solid">
        <fgColor rgb="00F8D7DA"/>
        <bgColor rgb="00F8D7DA"/>
      </patternFill>
    </fill>
    <fill>
      <patternFill patternType="solid">
        <fgColor rgb="00EEEEEE"/>
        <bgColor rgb="00EEEEEE"/>
      </patternFill>
    </fill>
    <fill>
      <patternFill patternType="solid">
        <fgColor rgb="00FFF8E1"/>
        <bgColor rgb="00FFF8E1"/>
      </patternFill>
    </fill>
    <fill>
      <patternFill patternType="solid">
        <fgColor rgb="00F6F8FA"/>
        <bgColor rgb="00F6F8FA"/>
      </patternFill>
    </fill>
    <fill>
      <patternFill patternType="solid">
        <fgColor rgb="002F6F6A"/>
        <bgColor rgb="002F6F6A"/>
      </patternFill>
    </fill>
    <fill>
      <patternFill patternType="solid">
        <fgColor rgb="0056626F"/>
        <bgColor rgb="0056626F"/>
      </patternFill>
    </fill>
    <fill>
      <patternFill patternType="solid">
        <fgColor rgb="00A0A0A0"/>
        <bgColor rgb="00A0A0A0"/>
      </patternFill>
    </fill>
    <fill>
      <patternFill patternType="solid">
        <fgColor rgb="00E9EEF4"/>
        <bgColor rgb="00E9EEF4"/>
      </patternFill>
    </fill>
    <fill>
      <patternFill patternType="solid">
        <fgColor rgb="00FFFFFF"/>
        <bgColor rgb="00FFFFFF"/>
      </patternFill>
    </fill>
    <fill>
      <patternFill patternType="solid">
        <fgColor rgb="001B1A17"/>
      </patternFill>
    </fill>
    <fill>
      <patternFill patternType="solid">
        <fgColor rgb="00FAF0C8"/>
      </patternFill>
    </fill>
    <fill>
      <patternFill patternType="solid">
        <fgColor rgb="00EBE4D5"/>
      </patternFill>
    </fill>
    <fill>
      <patternFill patternType="solid">
        <fgColor rgb="00FFFFFF"/>
      </patternFill>
    </fill>
    <fill>
      <patternFill patternType="solid">
        <fgColor rgb="00FBF8F1"/>
      </patternFill>
    </fill>
    <fill>
      <patternFill patternType="solid">
        <fgColor rgb="00F6EAC2"/>
      </patternFill>
    </fill>
    <fill>
      <patternFill patternType="solid">
        <fgColor rgb="0057534A"/>
      </patternFill>
    </fill>
    <fill>
      <patternFill patternType="solid">
        <fgColor rgb="00A12B22"/>
      </patternFill>
    </fill>
    <fill>
      <patternFill patternType="solid">
        <fgColor rgb="00857F72"/>
      </patternFill>
    </fill>
    <fill>
      <patternFill patternType="solid">
        <fgColor rgb="00DCE7D8"/>
      </patternFill>
    </fill>
    <fill>
      <patternFill patternType="solid">
        <fgColor rgb="00E7ECD8"/>
      </patternFill>
    </fill>
    <fill>
      <patternFill patternType="solid">
        <fgColor rgb="00F3DDC8"/>
      </patternFill>
    </fill>
    <fill>
      <patternFill patternType="solid">
        <fgColor rgb="00F2D7D1"/>
      </patternFill>
    </fill>
  </fills>
  <borders count="59">
    <border>
      <left/>
      <right/>
      <top/>
      <bottom/>
      <diagonal/>
    </border>
    <border>
      <bottom style="thin">
        <color rgb="00D5DBE3"/>
      </bottom>
    </border>
    <border>
      <top style="thin">
        <color rgb="00FFFFFF"/>
      </top>
    </border>
    <border>
      <top style="medium">
        <color rgb="001F3A5F"/>
      </top>
      <bottom style="thin">
        <color rgb="00D5DBE3"/>
      </bottom>
    </border>
    <border>
      <left style="thin">
        <color rgb="00D5DBE3"/>
      </left>
      <top style="thick">
        <color rgb="001F3A5F"/>
      </top>
    </border>
    <border>
      <right style="thin">
        <color rgb="00D5DBE3"/>
      </right>
      <top style="thick">
        <color rgb="001F3A5F"/>
      </top>
    </border>
    <border>
      <left style="thin">
        <color rgb="00D5DBE3"/>
      </left>
    </border>
    <border>
      <right style="thin">
        <color rgb="00D5DBE3"/>
      </right>
    </border>
    <border>
      <left style="thin">
        <color rgb="00D5DBE3"/>
      </left>
      <bottom style="thin">
        <color rgb="00D5DBE3"/>
      </bottom>
    </border>
    <border>
      <right style="thin">
        <color rgb="00D5DBE3"/>
      </right>
      <bottom style="thin">
        <color rgb="00D5DBE3"/>
      </bottom>
    </border>
    <border>
      <left style="thin">
        <color rgb="00D5DBE3"/>
      </left>
      <top style="thick">
        <color rgb="002F6F6A"/>
      </top>
    </border>
    <border>
      <right style="thin">
        <color rgb="00D5DBE3"/>
      </right>
      <top style="thick">
        <color rgb="002F6F6A"/>
      </top>
    </border>
    <border>
      <left style="thin">
        <color rgb="00D5DBE3"/>
      </left>
      <top style="thick">
        <color rgb="009B1C24"/>
      </top>
    </border>
    <border>
      <right style="thin">
        <color rgb="00D5DBE3"/>
      </right>
      <top style="thick">
        <color rgb="009B1C24"/>
      </top>
    </border>
    <border>
      <left style="thin">
        <color rgb="00D5DBE3"/>
      </left>
      <top style="thick">
        <color rgb="0056626F"/>
      </top>
    </border>
    <border>
      <right style="thin">
        <color rgb="00D5DBE3"/>
      </right>
      <top style="thick">
        <color rgb="0056626F"/>
      </top>
    </border>
    <border>
      <left style="thin">
        <color rgb="00D5DBE3"/>
      </left>
      <top style="medium">
        <color rgb="001F3A5F"/>
      </top>
      <bottom style="thin">
        <color rgb="00D5DBE3"/>
      </bottom>
    </border>
    <border>
      <right style="thin">
        <color rgb="00D5DBE3"/>
      </right>
      <top style="medium">
        <color rgb="001F3A5F"/>
      </top>
      <bottom style="thin">
        <color rgb="00D5DBE3"/>
      </bottom>
    </border>
    <border>
      <left style="thin">
        <color rgb="00D5DBE3"/>
      </left>
      <right style="thin">
        <color rgb="00D5DBE3"/>
      </right>
      <top style="thin">
        <color rgb="00D5DBE3"/>
      </top>
      <bottom style="thin">
        <color rgb="00D5DBE3"/>
      </bottom>
    </border>
    <border>
      <left/>
      <right/>
      <top/>
      <bottom style="thin">
        <color rgb="00D5DBE3"/>
      </bottom>
      <diagonal/>
    </border>
    <border>
      <left style="thin">
        <color rgb="00D5DBE3"/>
      </left>
      <right style="thin">
        <color rgb="00D5DBE3"/>
      </right>
    </border>
    <border>
      <left style="thin">
        <color rgb="00D5DBE3"/>
      </left>
      <right/>
      <top/>
      <bottom/>
      <diagonal/>
    </border>
    <border>
      <left/>
      <right style="thin">
        <color rgb="00D5DBE3"/>
      </right>
      <top/>
      <bottom/>
      <diagonal/>
    </border>
    <border>
      <left style="thin">
        <color rgb="00D5DBE3"/>
      </left>
      <right style="thin">
        <color rgb="00D5DBE3"/>
      </right>
      <top style="thick">
        <color rgb="002F6F6A"/>
      </top>
    </border>
    <border>
      <left/>
      <right/>
      <top style="thick">
        <color rgb="002F6F6A"/>
      </top>
      <bottom/>
      <diagonal/>
    </border>
    <border>
      <left/>
      <right style="thin">
        <color rgb="00D5DBE3"/>
      </right>
      <top style="thick">
        <color rgb="002F6F6A"/>
      </top>
      <bottom/>
      <diagonal/>
    </border>
    <border>
      <left style="thin">
        <color rgb="00D5DBE3"/>
      </left>
      <right style="thin">
        <color rgb="00D5DBE3"/>
      </right>
      <top style="thick">
        <color rgb="001F3A5F"/>
      </top>
    </border>
    <border>
      <left/>
      <right/>
      <top style="thick">
        <color rgb="001F3A5F"/>
      </top>
      <bottom/>
      <diagonal/>
    </border>
    <border>
      <left/>
      <right style="thin">
        <color rgb="00D5DBE3"/>
      </right>
      <top style="thick">
        <color rgb="001F3A5F"/>
      </top>
      <bottom/>
      <diagonal/>
    </border>
    <border>
      <left style="thin">
        <color rgb="00D5DBE3"/>
      </left>
      <right style="thin">
        <color rgb="00D5DBE3"/>
      </right>
      <top style="thick">
        <color rgb="0056626F"/>
      </top>
    </border>
    <border>
      <left/>
      <right/>
      <top style="thick">
        <color rgb="0056626F"/>
      </top>
      <bottom/>
      <diagonal/>
    </border>
    <border>
      <left/>
      <right style="thin">
        <color rgb="00D5DBE3"/>
      </right>
      <top style="thick">
        <color rgb="0056626F"/>
      </top>
      <bottom/>
      <diagonal/>
    </border>
    <border>
      <left style="thin">
        <color rgb="00D5DBE3"/>
      </left>
      <right style="thin">
        <color rgb="00D5DBE3"/>
      </right>
      <top style="thick">
        <color rgb="009B1C24"/>
      </top>
    </border>
    <border>
      <left/>
      <right/>
      <top style="thick">
        <color rgb="009B1C24"/>
      </top>
      <bottom/>
      <diagonal/>
    </border>
    <border>
      <left/>
      <right style="thin">
        <color rgb="00D5DBE3"/>
      </right>
      <top style="thick">
        <color rgb="009B1C24"/>
      </top>
      <bottom/>
      <diagonal/>
    </border>
    <border>
      <left style="thin">
        <color rgb="00D5DBE3"/>
      </left>
      <right style="thin">
        <color rgb="00D5DBE3"/>
      </right>
      <bottom style="thin">
        <color rgb="00D5DBE3"/>
      </bottom>
    </border>
    <border>
      <left/>
      <right style="thin">
        <color rgb="00D5DBE3"/>
      </right>
      <top/>
      <bottom style="thin">
        <color rgb="00D5DBE3"/>
      </bottom>
      <diagonal/>
    </border>
    <border>
      <left/>
      <right/>
      <top style="medium">
        <color rgb="001F3A5F"/>
      </top>
      <bottom/>
      <diagonal/>
    </border>
    <border>
      <left/>
      <right/>
      <top style="medium">
        <color rgb="001F3A5F"/>
      </top>
      <bottom style="thin">
        <color rgb="00D5DBE3"/>
      </bottom>
      <diagonal/>
    </border>
    <border>
      <right/>
      <bottom style="thin">
        <color rgb="00D5DBE3"/>
      </bottom>
    </border>
    <border>
      <left style="thin">
        <color rgb="00D5DBE3"/>
      </left>
      <right style="thin">
        <color rgb="00D5DBE3"/>
      </right>
      <bottom/>
    </border>
    <border>
      <left style="thin">
        <color rgb="00D5DBE3"/>
      </left>
      <right style="thin">
        <color rgb="00D5DBE3"/>
      </right>
      <top style="thick">
        <color rgb="002F6F6A"/>
      </top>
      <bottom/>
    </border>
    <border>
      <left style="thin">
        <color rgb="00D5DBE3"/>
      </left>
      <right style="thin">
        <color rgb="00D5DBE3"/>
      </right>
      <top style="thick">
        <color rgb="001F3A5F"/>
      </top>
      <bottom/>
    </border>
    <border>
      <left style="thin">
        <color rgb="00D5DBE3"/>
      </left>
      <right style="thin">
        <color rgb="00D5DBE3"/>
      </right>
      <top style="thick">
        <color rgb="0056626F"/>
      </top>
      <bottom/>
    </border>
    <border>
      <left style="thin">
        <color rgb="00D5DBE3"/>
      </left>
      <right style="thin">
        <color rgb="00D5DBE3"/>
      </right>
      <top style="thick">
        <color rgb="009B1C24"/>
      </top>
      <bottom/>
    </border>
    <border>
      <right/>
      <top style="medium">
        <color rgb="001F3A5F"/>
      </top>
      <bottom style="thin">
        <color rgb="00D5DBE3"/>
      </bottom>
    </border>
    <border>
      <left/>
      <right/>
      <top/>
      <bottom style="thin">
        <color rgb="00D3CAB7"/>
      </bottom>
    </border>
    <border>
      <left style="thin">
        <color rgb="00D3CAB7"/>
      </left>
      <right style="thin">
        <color rgb="00D3CAB7"/>
      </right>
      <top style="thin">
        <color rgb="00D3CAB7"/>
      </top>
      <bottom style="thin">
        <color rgb="00D3CAB7"/>
      </bottom>
    </border>
    <border>
      <left style="thin">
        <color rgb="00D3CAB7"/>
      </left>
      <right style="thin">
        <color rgb="00D3CAB7"/>
      </right>
      <top style="thick">
        <color rgb="00D3CAB7"/>
      </top>
      <bottom/>
    </border>
    <border>
      <left/>
      <right style="thin">
        <color rgb="00D3CAB7"/>
      </right>
      <top style="thick">
        <color rgb="00D3CAB7"/>
      </top>
      <bottom/>
    </border>
    <border>
      <left style="thin">
        <color rgb="00D3CAB7"/>
      </left>
      <right style="thin">
        <color rgb="00D3CAB7"/>
      </right>
      <top/>
      <bottom/>
    </border>
    <border>
      <left/>
      <right style="thin">
        <color rgb="00D3CAB7"/>
      </right>
      <top/>
      <bottom/>
    </border>
    <border>
      <left style="thin">
        <color rgb="00D3CAB7"/>
      </left>
      <right/>
      <top/>
      <bottom/>
    </border>
    <border>
      <left style="thin">
        <color rgb="00D3CAB7"/>
      </left>
      <right style="thin">
        <color rgb="00D3CAB7"/>
      </right>
      <top/>
      <bottom style="thin">
        <color rgb="00D3CAB7"/>
      </bottom>
    </border>
    <border>
      <left/>
      <right style="thin">
        <color rgb="00D3CAB7"/>
      </right>
      <top/>
      <bottom style="thin">
        <color rgb="00D3CAB7"/>
      </bottom>
    </border>
    <border>
      <left/>
      <right/>
      <top style="medium">
        <color rgb="00D3CAB7"/>
      </top>
      <bottom style="thin">
        <color rgb="00D3CAB7"/>
      </bottom>
    </border>
    <border>
      <left style="thin">
        <color rgb="00D3CAB7"/>
      </left>
      <right/>
      <top style="medium">
        <color rgb="00D3CAB7"/>
      </top>
      <bottom style="thin">
        <color rgb="00D3CAB7"/>
      </bottom>
    </border>
    <border>
      <left/>
      <right style="thin">
        <color rgb="00D3CAB7"/>
      </right>
      <top style="medium">
        <color rgb="00D3CAB7"/>
      </top>
      <bottom style="thin">
        <color rgb="00D3CAB7"/>
      </bottom>
    </border>
    <border>
      <left/>
      <right/>
      <top style="thin">
        <color rgb="00D3CAB7"/>
      </top>
      <bottom/>
    </border>
  </borders>
  <cellStyleXfs count="1">
    <xf numFmtId="0" fontId="0" fillId="0" borderId="0"/>
  </cellStyleXfs>
  <cellXfs count="235">
    <xf numFmtId="0" fontId="0" fillId="0" borderId="0" pivotButton="0" quotePrefix="0" xfId="0"/>
    <xf numFmtId="0" fontId="26" fillId="0" borderId="0" pivotButton="0" quotePrefix="0" xfId="0"/>
    <xf numFmtId="0" fontId="49" fillId="0" borderId="0" pivotButton="0" quotePrefix="0" xfId="0"/>
    <xf numFmtId="0" fontId="24" fillId="0" borderId="0" applyAlignment="1" pivotButton="0" quotePrefix="0" xfId="0">
      <alignment vertical="top" wrapText="1"/>
    </xf>
    <xf numFmtId="0" fontId="19" fillId="2" borderId="0" applyAlignment="1" pivotButton="0" quotePrefix="0" xfId="0">
      <alignment horizontal="left" vertical="center" wrapText="1" indent="1"/>
    </xf>
    <xf numFmtId="0" fontId="0" fillId="2" borderId="0" pivotButton="0" quotePrefix="0" xfId="0"/>
    <xf numFmtId="0" fontId="32" fillId="0" borderId="1" applyAlignment="1" pivotButton="0" quotePrefix="0" xfId="0">
      <alignment horizontal="left" vertical="center" wrapText="1" indent="1"/>
    </xf>
    <xf numFmtId="0" fontId="6" fillId="0" borderId="1" applyAlignment="1" pivotButton="0" quotePrefix="0" xfId="0">
      <alignment horizontal="left" vertical="center" wrapText="1" indent="1"/>
    </xf>
    <xf numFmtId="0" fontId="0" fillId="0" borderId="1" pivotButton="0" quotePrefix="0" xfId="0"/>
    <xf numFmtId="0" fontId="6" fillId="0" borderId="0" applyAlignment="1" pivotButton="0" quotePrefix="0" xfId="0">
      <alignment horizontal="left" vertical="center" wrapText="1" indent="1"/>
    </xf>
    <xf numFmtId="0" fontId="50" fillId="9" borderId="18" applyAlignment="1" pivotButton="0" quotePrefix="0" xfId="0">
      <alignment horizontal="left" vertical="center" wrapText="1" indent="1"/>
    </xf>
    <xf numFmtId="0" fontId="51" fillId="14" borderId="18" applyAlignment="1" pivotButton="0" quotePrefix="0" xfId="0">
      <alignment horizontal="left" vertical="center" wrapText="1" indent="1"/>
    </xf>
    <xf numFmtId="0" fontId="52" fillId="15" borderId="18" applyAlignment="1" pivotButton="0" quotePrefix="0" xfId="0">
      <alignment horizontal="left" vertical="center" wrapText="1" indent="1"/>
    </xf>
    <xf numFmtId="0" fontId="40" fillId="10" borderId="1" applyAlignment="1" pivotButton="0" quotePrefix="0" xfId="0">
      <alignment horizontal="left" vertical="center" wrapText="1" indent="1"/>
    </xf>
    <xf numFmtId="0" fontId="25" fillId="9" borderId="1" applyAlignment="1" pivotButton="0" quotePrefix="0" xfId="0">
      <alignment vertical="center" wrapText="1"/>
    </xf>
    <xf numFmtId="0" fontId="53" fillId="5" borderId="1" applyAlignment="1" pivotButton="0" quotePrefix="0" xfId="0">
      <alignment horizontal="center" vertical="center" wrapText="1"/>
    </xf>
    <xf numFmtId="0" fontId="27" fillId="0" borderId="0" pivotButton="0" quotePrefix="0" xfId="0"/>
    <xf numFmtId="0" fontId="28" fillId="0" borderId="0" pivotButton="0" quotePrefix="0" xfId="0"/>
    <xf numFmtId="0" fontId="29" fillId="0" borderId="1" applyAlignment="1" pivotButton="0" quotePrefix="0" xfId="0">
      <alignment vertical="center" indent="1"/>
    </xf>
    <xf numFmtId="0" fontId="30" fillId="9" borderId="1" applyAlignment="1" pivotButton="0" quotePrefix="0" xfId="0">
      <alignment vertical="center" wrapText="1" indent="1"/>
    </xf>
    <xf numFmtId="0" fontId="0" fillId="9" borderId="1" pivotButton="0" quotePrefix="0" xfId="0"/>
    <xf numFmtId="164" fontId="30" fillId="9" borderId="1" applyAlignment="1" pivotButton="0" quotePrefix="0" xfId="0">
      <alignment vertical="center" wrapText="1" indent="1"/>
    </xf>
    <xf numFmtId="0" fontId="40" fillId="0" borderId="0" pivotButton="0" quotePrefix="0" xfId="0"/>
    <xf numFmtId="0" fontId="34" fillId="0" borderId="4" applyAlignment="1" pivotButton="0" quotePrefix="0" xfId="0">
      <alignment horizontal="center" vertical="center" wrapText="1"/>
    </xf>
    <xf numFmtId="0" fontId="0" fillId="0" borderId="5" pivotButton="0" quotePrefix="0" xfId="0"/>
    <xf numFmtId="0" fontId="34" fillId="0" borderId="10" applyAlignment="1" pivotButton="0" quotePrefix="0" xfId="0">
      <alignment horizontal="center" vertical="center" wrapText="1"/>
    </xf>
    <xf numFmtId="0" fontId="0" fillId="0" borderId="11" pivotButton="0" quotePrefix="0" xfId="0"/>
    <xf numFmtId="0" fontId="34" fillId="0" borderId="12" applyAlignment="1" pivotButton="0" quotePrefix="0" xfId="0">
      <alignment horizontal="center" vertical="center" wrapText="1"/>
    </xf>
    <xf numFmtId="0" fontId="0" fillId="0" borderId="13" pivotButton="0" quotePrefix="0" xfId="0"/>
    <xf numFmtId="0" fontId="34" fillId="0" borderId="14" applyAlignment="1" pivotButton="0" quotePrefix="0" xfId="0">
      <alignment horizontal="center" vertical="center" wrapText="1"/>
    </xf>
    <xf numFmtId="0" fontId="0" fillId="0" borderId="15" pivotButton="0" quotePrefix="0" xfId="0"/>
    <xf numFmtId="0" fontId="23" fillId="0" borderId="0" applyAlignment="1" pivotButton="0" quotePrefix="0" xfId="0">
      <alignment vertical="top" wrapText="1"/>
    </xf>
    <xf numFmtId="9" fontId="35" fillId="0" borderId="6" applyAlignment="1" pivotButton="0" quotePrefix="0" xfId="0">
      <alignment horizontal="center" vertical="center" wrapText="1"/>
    </xf>
    <xf numFmtId="0" fontId="0" fillId="0" borderId="7" pivotButton="0" quotePrefix="0" xfId="0"/>
    <xf numFmtId="9" fontId="37" fillId="0" borderId="6" applyAlignment="1" pivotButton="0" quotePrefix="0" xfId="0">
      <alignment horizontal="center" vertical="center" wrapText="1"/>
    </xf>
    <xf numFmtId="1" fontId="38" fillId="0" borderId="6" applyAlignment="1" pivotButton="0" quotePrefix="0" xfId="0">
      <alignment horizontal="center" vertical="center" wrapText="1"/>
    </xf>
    <xf numFmtId="1" fontId="39" fillId="0" borderId="6" applyAlignment="1" pivotButton="0" quotePrefix="0" xfId="0">
      <alignment horizontal="center" vertical="center" wrapText="1"/>
    </xf>
    <xf numFmtId="0" fontId="0" fillId="0" borderId="6" pivotButton="0" quotePrefix="0" xfId="0"/>
    <xf numFmtId="0" fontId="36" fillId="0" borderId="8" applyAlignment="1" pivotButton="0" quotePrefix="0" xfId="0">
      <alignment horizontal="center" vertical="center" wrapText="1"/>
    </xf>
    <xf numFmtId="0" fontId="0" fillId="0" borderId="9" pivotButton="0" quotePrefix="0" xfId="0"/>
    <xf numFmtId="0" fontId="40" fillId="0" borderId="0" applyAlignment="1" pivotButton="0" quotePrefix="0" xfId="0">
      <alignment vertical="center"/>
    </xf>
    <xf numFmtId="0" fontId="12" fillId="0" borderId="0" pivotButton="0" quotePrefix="0" xfId="0"/>
    <xf numFmtId="0" fontId="19" fillId="2" borderId="0" applyAlignment="1" pivotButton="0" quotePrefix="0" xfId="0">
      <alignment horizontal="center" vertical="center" wrapText="1"/>
    </xf>
    <xf numFmtId="0" fontId="24" fillId="0" borderId="1" applyAlignment="1" pivotButton="0" quotePrefix="0" xfId="0">
      <alignment horizontal="center" vertical="center" wrapText="1"/>
    </xf>
    <xf numFmtId="9" fontId="24" fillId="0" borderId="1" applyAlignment="1" pivotButton="0" quotePrefix="0" xfId="0">
      <alignment horizontal="center" vertical="center" wrapText="1"/>
    </xf>
    <xf numFmtId="0" fontId="31" fillId="0" borderId="1" applyAlignment="1" pivotButton="0" quotePrefix="0" xfId="0">
      <alignment horizontal="center" vertical="center" wrapText="1"/>
    </xf>
    <xf numFmtId="0" fontId="6" fillId="10" borderId="1" applyAlignment="1" pivotButton="0" quotePrefix="0" xfId="0">
      <alignment horizontal="left" vertical="center" wrapText="1" indent="1"/>
    </xf>
    <xf numFmtId="0" fontId="24" fillId="10" borderId="1" applyAlignment="1" pivotButton="0" quotePrefix="0" xfId="0">
      <alignment horizontal="center" vertical="center" wrapText="1"/>
    </xf>
    <xf numFmtId="9" fontId="24" fillId="10" borderId="1" applyAlignment="1" pivotButton="0" quotePrefix="0" xfId="0">
      <alignment horizontal="center" vertical="center" wrapText="1"/>
    </xf>
    <xf numFmtId="0" fontId="31" fillId="10" borderId="1" applyAlignment="1" pivotButton="0" quotePrefix="0" xfId="0">
      <alignment horizontal="center" vertical="center" wrapText="1"/>
    </xf>
    <xf numFmtId="0" fontId="32" fillId="14" borderId="3" applyAlignment="1" pivotButton="0" quotePrefix="0" xfId="0">
      <alignment horizontal="left" vertical="center" wrapText="1" indent="1"/>
    </xf>
    <xf numFmtId="0" fontId="32" fillId="14" borderId="3" applyAlignment="1" pivotButton="0" quotePrefix="0" xfId="0">
      <alignment horizontal="center" vertical="center" wrapText="1"/>
    </xf>
    <xf numFmtId="165" fontId="32" fillId="14" borderId="3" applyAlignment="1" pivotButton="0" quotePrefix="0" xfId="0">
      <alignment horizontal="center" vertical="center" wrapText="1"/>
    </xf>
    <xf numFmtId="0" fontId="33" fillId="0" borderId="0" pivotButton="0" quotePrefix="0" xfId="0"/>
    <xf numFmtId="0" fontId="2" fillId="0" borderId="0" pivotButton="0" quotePrefix="0" xfId="0"/>
    <xf numFmtId="0" fontId="19" fillId="12" borderId="0" applyAlignment="1" pivotButton="0" quotePrefix="0" xfId="0">
      <alignment horizontal="left" vertical="center" wrapText="1" indent="1"/>
    </xf>
    <xf numFmtId="0" fontId="19" fillId="12" borderId="0" applyAlignment="1" pivotButton="0" quotePrefix="0" xfId="0">
      <alignment horizontal="center" vertical="center" wrapText="1"/>
    </xf>
    <xf numFmtId="0" fontId="13" fillId="9" borderId="1" applyAlignment="1" pivotButton="0" quotePrefix="0" xfId="0">
      <alignment horizontal="left" vertical="center" wrapText="1" indent="1"/>
    </xf>
    <xf numFmtId="0" fontId="22" fillId="0" borderId="1" applyAlignment="1" pivotButton="0" quotePrefix="0" xfId="0">
      <alignment horizontal="left" vertical="center" wrapText="1" indent="1"/>
    </xf>
    <xf numFmtId="3" fontId="42" fillId="0" borderId="1" applyAlignment="1" pivotButton="0" quotePrefix="0" xfId="0">
      <alignment horizontal="center" vertical="center" wrapText="1"/>
    </xf>
    <xf numFmtId="0" fontId="36" fillId="0" borderId="1" applyAlignment="1" pivotButton="0" quotePrefix="0" xfId="0">
      <alignment horizontal="center" vertical="center" wrapText="1"/>
    </xf>
    <xf numFmtId="3" fontId="13" fillId="9" borderId="1" applyAlignment="1" pivotButton="0" quotePrefix="0" xfId="0">
      <alignment horizontal="right" vertical="center" wrapText="1" indent="1"/>
    </xf>
    <xf numFmtId="0" fontId="41" fillId="0" borderId="0" pivotButton="0" quotePrefix="0" xfId="0"/>
    <xf numFmtId="0" fontId="43" fillId="0" borderId="1" applyAlignment="1" pivotButton="0" quotePrefix="0" xfId="0">
      <alignment horizontal="center" vertical="center" wrapText="1"/>
    </xf>
    <xf numFmtId="0" fontId="44" fillId="0" borderId="1" applyAlignment="1" pivotButton="0" quotePrefix="0" xfId="0">
      <alignment horizontal="center" vertical="center" wrapText="1"/>
    </xf>
    <xf numFmtId="3" fontId="5" fillId="0" borderId="1" applyAlignment="1" pivotButton="0" quotePrefix="0" xfId="0">
      <alignment horizontal="right" vertical="center" indent="1"/>
    </xf>
    <xf numFmtId="0" fontId="46" fillId="0" borderId="1" applyAlignment="1" pivotButton="0" quotePrefix="0" xfId="0">
      <alignment horizontal="center" vertical="center" wrapText="1"/>
    </xf>
    <xf numFmtId="0" fontId="45" fillId="0" borderId="0" applyAlignment="1" pivotButton="0" quotePrefix="0" xfId="0">
      <alignment vertical="top" wrapText="1"/>
    </xf>
    <xf numFmtId="0" fontId="47" fillId="2" borderId="16" applyAlignment="1" pivotButton="0" quotePrefix="0" xfId="0">
      <alignment horizontal="left" vertical="center" wrapText="1" indent="1"/>
    </xf>
    <xf numFmtId="0" fontId="12" fillId="14" borderId="17" applyAlignment="1" pivotButton="0" quotePrefix="0" xfId="0">
      <alignment vertical="center" wrapText="1" indent="1"/>
    </xf>
    <xf numFmtId="0" fontId="48" fillId="0" borderId="0" applyAlignment="1" pivotButton="0" quotePrefix="0" xfId="0">
      <alignment vertical="top" wrapText="1"/>
    </xf>
    <xf numFmtId="0" fontId="2" fillId="0" borderId="0" applyAlignment="1" pivotButton="0" quotePrefix="0" xfId="0">
      <alignment vertical="top" wrapText="1"/>
    </xf>
    <xf numFmtId="0" fontId="1" fillId="0" borderId="0" pivotButton="0" quotePrefix="0" xfId="0"/>
    <xf numFmtId="0" fontId="18" fillId="10" borderId="0" applyAlignment="1" pivotButton="0" quotePrefix="0" xfId="0">
      <alignment horizontal="left" vertical="center" wrapText="1" indent="1"/>
    </xf>
    <xf numFmtId="0" fontId="19" fillId="11" borderId="0" applyAlignment="1" pivotButton="0" quotePrefix="0" xfId="0">
      <alignment horizontal="center" vertical="center" wrapText="1"/>
    </xf>
    <xf numFmtId="0" fontId="0" fillId="11" borderId="0" pivotButton="0" quotePrefix="0" xfId="0"/>
    <xf numFmtId="0" fontId="0" fillId="12" borderId="0" pivotButton="0" quotePrefix="0" xfId="0"/>
    <xf numFmtId="0" fontId="20" fillId="2" borderId="2" applyAlignment="1" pivotButton="0" quotePrefix="0" xfId="0">
      <alignment horizontal="center" vertical="center" wrapText="1"/>
    </xf>
    <xf numFmtId="0" fontId="20" fillId="11" borderId="2" applyAlignment="1" pivotButton="0" quotePrefix="0" xfId="0">
      <alignment horizontal="center" vertical="center" wrapText="1"/>
    </xf>
    <xf numFmtId="0" fontId="20" fillId="12" borderId="2" applyAlignment="1" pivotButton="0" quotePrefix="0" xfId="0">
      <alignment horizontal="center" vertical="center" wrapText="1"/>
    </xf>
    <xf numFmtId="0" fontId="20" fillId="13" borderId="2" applyAlignment="1" pivotButton="0" quotePrefix="0" xfId="0">
      <alignment horizontal="center" vertical="center" wrapText="1"/>
    </xf>
    <xf numFmtId="0" fontId="18" fillId="14" borderId="3" applyAlignment="1" pivotButton="0" quotePrefix="0" xfId="0">
      <alignment vertical="center" indent="1"/>
    </xf>
    <xf numFmtId="0" fontId="0" fillId="14" borderId="3" pivotButton="0" quotePrefix="0" xfId="0"/>
    <xf numFmtId="166" fontId="18" fillId="14" borderId="3" applyAlignment="1" pivotButton="0" quotePrefix="0" xfId="0">
      <alignment horizontal="center" vertical="center" wrapText="1"/>
    </xf>
    <xf numFmtId="0" fontId="21" fillId="0" borderId="1" applyAlignment="1" pivotButton="0" quotePrefix="0" xfId="0">
      <alignment horizontal="center" vertical="center" wrapText="1"/>
    </xf>
    <xf numFmtId="0" fontId="22" fillId="0" borderId="1" applyAlignment="1" pivotButton="0" quotePrefix="0" xfId="0">
      <alignment horizontal="center" vertical="center" wrapText="1"/>
    </xf>
    <xf numFmtId="0" fontId="23" fillId="0" borderId="1" applyAlignment="1" pivotButton="0" quotePrefix="0" xfId="0">
      <alignment horizontal="center" vertical="center" wrapText="1"/>
    </xf>
    <xf numFmtId="0" fontId="24" fillId="0" borderId="1" applyAlignment="1" pivotButton="0" quotePrefix="0" xfId="0">
      <alignment vertical="center" wrapText="1"/>
    </xf>
    <xf numFmtId="0" fontId="22" fillId="0" borderId="1" applyAlignment="1" pivotButton="0" quotePrefix="0" xfId="0">
      <alignment vertical="center" wrapText="1"/>
    </xf>
    <xf numFmtId="0" fontId="23" fillId="0" borderId="1" applyAlignment="1" pivotButton="0" quotePrefix="0" xfId="0">
      <alignment vertical="center" wrapText="1"/>
    </xf>
    <xf numFmtId="0" fontId="13" fillId="9" borderId="1" applyAlignment="1" pivotButton="0" quotePrefix="0" xfId="0">
      <alignment horizontal="center" vertical="center" wrapText="1"/>
    </xf>
    <xf numFmtId="0" fontId="25" fillId="9" borderId="1" applyAlignment="1" pivotButton="0" quotePrefix="0" xfId="0">
      <alignment horizontal="center" vertical="center" wrapText="1"/>
    </xf>
    <xf numFmtId="9" fontId="5" fillId="0" borderId="1" applyAlignment="1" pivotButton="0" quotePrefix="0" xfId="0">
      <alignment horizontal="center" vertical="center" wrapText="1"/>
    </xf>
    <xf numFmtId="164" fontId="25" fillId="9" borderId="1" applyAlignment="1" pivotButton="0" quotePrefix="0" xfId="0">
      <alignment horizontal="center" vertical="center" wrapText="1"/>
    </xf>
    <xf numFmtId="0" fontId="17" fillId="0" borderId="0" pivotButton="0" quotePrefix="0" xfId="0"/>
    <xf numFmtId="0" fontId="3" fillId="2" borderId="0" applyAlignment="1" pivotButton="0" quotePrefix="0" xfId="0">
      <alignment horizontal="left" vertical="center" wrapText="1" indent="1"/>
    </xf>
    <xf numFmtId="0" fontId="3" fillId="2" borderId="0" applyAlignment="1" pivotButton="0" quotePrefix="0" xfId="0">
      <alignment horizontal="center" vertical="center" wrapText="1"/>
    </xf>
    <xf numFmtId="0" fontId="16" fillId="0" borderId="0" pivotButton="0" quotePrefix="0" xfId="0"/>
    <xf numFmtId="0" fontId="4" fillId="3" borderId="1" applyAlignment="1" pivotButton="0" quotePrefix="0" xfId="0">
      <alignment horizontal="left" vertical="center" wrapText="1" indent="1"/>
    </xf>
    <xf numFmtId="0" fontId="7" fillId="4" borderId="1" applyAlignment="1" pivotButton="0" quotePrefix="0" xfId="0">
      <alignment horizontal="left" vertical="center" wrapText="1" indent="1"/>
    </xf>
    <xf numFmtId="0" fontId="8" fillId="5" borderId="1" applyAlignment="1" pivotButton="0" quotePrefix="0" xfId="0">
      <alignment horizontal="left" vertical="center" wrapText="1" indent="1"/>
    </xf>
    <xf numFmtId="0" fontId="9" fillId="6" borderId="1" applyAlignment="1" pivotButton="0" quotePrefix="0" xfId="0">
      <alignment horizontal="left" vertical="center" wrapText="1" indent="1"/>
    </xf>
    <xf numFmtId="0" fontId="10" fillId="7" borderId="1" applyAlignment="1" pivotButton="0" quotePrefix="0" xfId="0">
      <alignment horizontal="left" vertical="center" wrapText="1" indent="1"/>
    </xf>
    <xf numFmtId="0" fontId="11" fillId="8" borderId="1" applyAlignment="1" pivotButton="0" quotePrefix="0" xfId="0">
      <alignment horizontal="left" vertical="center" wrapText="1" indent="1"/>
    </xf>
    <xf numFmtId="0" fontId="5" fillId="0" borderId="1" applyAlignment="1" pivotButton="0" quotePrefix="0" xfId="0">
      <alignment horizontal="center" vertical="center" wrapText="1"/>
    </xf>
    <xf numFmtId="9" fontId="13" fillId="9" borderId="1" applyAlignment="1" pivotButton="0" quotePrefix="0" xfId="0">
      <alignment horizontal="center" vertical="center" wrapText="1"/>
    </xf>
    <xf numFmtId="9" fontId="14" fillId="10" borderId="1" applyAlignment="1" pivotButton="0" quotePrefix="0" xfId="0">
      <alignment horizontal="center" vertical="center" wrapText="1"/>
    </xf>
    <xf numFmtId="0" fontId="15" fillId="0" borderId="1" applyAlignment="1" pivotButton="0" quotePrefix="0" xfId="0">
      <alignment horizontal="center" vertical="center" wrapText="1"/>
    </xf>
    <xf numFmtId="0" fontId="0" fillId="0" borderId="19" pivotButton="0" quotePrefix="0" xfId="0"/>
    <xf numFmtId="164" fontId="30" fillId="9" borderId="1" applyAlignment="1" pivotButton="0" quotePrefix="0" xfId="0">
      <alignment vertical="center" wrapText="1" indent="1"/>
    </xf>
    <xf numFmtId="0" fontId="34" fillId="0" borderId="26" applyAlignment="1" pivotButton="0" quotePrefix="0" xfId="0">
      <alignment horizontal="center" vertical="center" wrapText="1"/>
    </xf>
    <xf numFmtId="0" fontId="0" fillId="0" borderId="28" pivotButton="0" quotePrefix="0" xfId="0"/>
    <xf numFmtId="0" fontId="34" fillId="0" borderId="23" applyAlignment="1" pivotButton="0" quotePrefix="0" xfId="0">
      <alignment horizontal="center" vertical="center" wrapText="1"/>
    </xf>
    <xf numFmtId="0" fontId="0" fillId="0" borderId="25" pivotButton="0" quotePrefix="0" xfId="0"/>
    <xf numFmtId="0" fontId="34" fillId="0" borderId="32" applyAlignment="1" pivotButton="0" quotePrefix="0" xfId="0">
      <alignment horizontal="center" vertical="center" wrapText="1"/>
    </xf>
    <xf numFmtId="0" fontId="0" fillId="0" borderId="34" pivotButton="0" quotePrefix="0" xfId="0"/>
    <xf numFmtId="0" fontId="34" fillId="0" borderId="29" applyAlignment="1" pivotButton="0" quotePrefix="0" xfId="0">
      <alignment horizontal="center" vertical="center" wrapText="1"/>
    </xf>
    <xf numFmtId="0" fontId="0" fillId="0" borderId="31" pivotButton="0" quotePrefix="0" xfId="0"/>
    <xf numFmtId="9" fontId="35" fillId="0" borderId="20" applyAlignment="1" pivotButton="0" quotePrefix="0" xfId="0">
      <alignment horizontal="center" vertical="center" wrapText="1"/>
    </xf>
    <xf numFmtId="0" fontId="0" fillId="0" borderId="22" pivotButton="0" quotePrefix="0" xfId="0"/>
    <xf numFmtId="9" fontId="37" fillId="0" borderId="20" applyAlignment="1" pivotButton="0" quotePrefix="0" xfId="0">
      <alignment horizontal="center" vertical="center" wrapText="1"/>
    </xf>
    <xf numFmtId="1" fontId="38" fillId="0" borderId="20" applyAlignment="1" pivotButton="0" quotePrefix="0" xfId="0">
      <alignment horizontal="center" vertical="center" wrapText="1"/>
    </xf>
    <xf numFmtId="1" fontId="39" fillId="0" borderId="20" applyAlignment="1" pivotButton="0" quotePrefix="0" xfId="0">
      <alignment horizontal="center" vertical="center" wrapText="1"/>
    </xf>
    <xf numFmtId="0" fontId="0" fillId="0" borderId="21" pivotButton="0" quotePrefix="0" xfId="0"/>
    <xf numFmtId="0" fontId="36" fillId="0" borderId="35" applyAlignment="1" pivotButton="0" quotePrefix="0" xfId="0">
      <alignment horizontal="center" vertical="center" wrapText="1"/>
    </xf>
    <xf numFmtId="0" fontId="0" fillId="0" borderId="36" pivotButton="0" quotePrefix="0" xfId="0"/>
    <xf numFmtId="165" fontId="32" fillId="14" borderId="3" applyAlignment="1" pivotButton="0" quotePrefix="0" xfId="0">
      <alignment horizontal="center" vertical="center" wrapText="1"/>
    </xf>
    <xf numFmtId="0" fontId="0" fillId="0" borderId="38" pivotButton="0" quotePrefix="0" xfId="0"/>
    <xf numFmtId="166" fontId="18" fillId="14" borderId="3" applyAlignment="1" pivotButton="0" quotePrefix="0" xfId="0">
      <alignment horizontal="center" vertical="center" wrapText="1"/>
    </xf>
    <xf numFmtId="164" fontId="25" fillId="9" borderId="1" applyAlignment="1" pivotButton="0" quotePrefix="0" xfId="0">
      <alignment horizontal="center" vertical="center" wrapText="1"/>
    </xf>
    <xf numFmtId="0" fontId="54" fillId="0" borderId="0" pivotButton="0" quotePrefix="0" xfId="0"/>
    <xf numFmtId="0" fontId="94" fillId="0" borderId="0" pivotButton="0" quotePrefix="0" xfId="0"/>
    <xf numFmtId="0" fontId="55" fillId="0" borderId="0" pivotButton="0" quotePrefix="0" xfId="0"/>
    <xf numFmtId="0" fontId="56" fillId="0" borderId="0" pivotButton="0" quotePrefix="0" xfId="0"/>
    <xf numFmtId="0" fontId="81" fillId="0" borderId="0" pivotButton="0" quotePrefix="0" xfId="0"/>
    <xf numFmtId="0" fontId="57" fillId="0" borderId="0" applyAlignment="1" pivotButton="0" quotePrefix="0" xfId="0">
      <alignment vertical="top" wrapText="1"/>
    </xf>
    <xf numFmtId="0" fontId="58" fillId="16" borderId="0" applyAlignment="1" pivotButton="0" quotePrefix="0" xfId="0">
      <alignment horizontal="left" vertical="center" wrapText="1" indent="1"/>
    </xf>
    <xf numFmtId="0" fontId="54" fillId="16" borderId="0" pivotButton="0" quotePrefix="0" xfId="0"/>
    <xf numFmtId="0" fontId="59" fillId="0" borderId="46" applyAlignment="1" pivotButton="0" quotePrefix="0" xfId="0">
      <alignment horizontal="left" vertical="center" wrapText="1" indent="1"/>
    </xf>
    <xf numFmtId="0" fontId="60" fillId="0" borderId="46" applyAlignment="1" pivotButton="0" quotePrefix="0" xfId="0">
      <alignment horizontal="left" vertical="center" wrapText="1" indent="1"/>
    </xf>
    <xf numFmtId="0" fontId="54" fillId="0" borderId="46" pivotButton="0" quotePrefix="0" xfId="0"/>
    <xf numFmtId="0" fontId="60" fillId="0" borderId="0" applyAlignment="1" pivotButton="0" quotePrefix="0" xfId="0">
      <alignment horizontal="left" vertical="center" wrapText="1" indent="1"/>
    </xf>
    <xf numFmtId="0" fontId="61" fillId="17" borderId="47" applyAlignment="1" pivotButton="0" quotePrefix="0" xfId="0">
      <alignment horizontal="left" vertical="center" wrapText="1" indent="1"/>
    </xf>
    <xf numFmtId="0" fontId="62" fillId="18" borderId="47" applyAlignment="1" pivotButton="0" quotePrefix="0" xfId="0">
      <alignment horizontal="left" vertical="center" wrapText="1" indent="1"/>
    </xf>
    <xf numFmtId="0" fontId="62" fillId="19" borderId="47" applyAlignment="1" pivotButton="0" quotePrefix="0" xfId="0">
      <alignment horizontal="left" vertical="center" wrapText="1" indent="1"/>
    </xf>
    <xf numFmtId="0" fontId="63" fillId="20" borderId="46" applyAlignment="1" pivotButton="0" quotePrefix="0" xfId="0">
      <alignment horizontal="left" vertical="center" wrapText="1" indent="1"/>
    </xf>
    <xf numFmtId="0" fontId="64" fillId="17" borderId="46" applyAlignment="1" pivotButton="0" quotePrefix="0" xfId="0">
      <alignment vertical="center" wrapText="1"/>
    </xf>
    <xf numFmtId="0" fontId="65" fillId="21" borderId="46" applyAlignment="1" pivotButton="0" quotePrefix="0" xfId="0">
      <alignment horizontal="center" vertical="center" wrapText="1"/>
    </xf>
    <xf numFmtId="0" fontId="58" fillId="16" borderId="0" applyAlignment="1" pivotButton="0" quotePrefix="0" xfId="0">
      <alignment vertical="center" indent="1"/>
    </xf>
    <xf numFmtId="0" fontId="0" fillId="16" borderId="0" pivotButton="0" quotePrefix="0" xfId="0"/>
    <xf numFmtId="0" fontId="66" fillId="0" borderId="0" pivotButton="0" quotePrefix="0" xfId="0"/>
    <xf numFmtId="0" fontId="81" fillId="0" borderId="0" applyAlignment="1" pivotButton="0" quotePrefix="0" xfId="0">
      <alignment vertical="center"/>
    </xf>
    <xf numFmtId="0" fontId="67" fillId="0" borderId="0" pivotButton="0" quotePrefix="0" xfId="0"/>
    <xf numFmtId="0" fontId="68" fillId="0" borderId="46" applyAlignment="1" pivotButton="0" quotePrefix="0" xfId="0">
      <alignment vertical="center" indent="1"/>
    </xf>
    <xf numFmtId="0" fontId="69" fillId="17" borderId="46" applyAlignment="1" pivotButton="0" quotePrefix="0" xfId="0">
      <alignment vertical="center" wrapText="1" indent="1"/>
    </xf>
    <xf numFmtId="164" fontId="69" fillId="17" borderId="46" applyAlignment="1" pivotButton="0" quotePrefix="0" xfId="0">
      <alignment vertical="center" wrapText="1" indent="1"/>
    </xf>
    <xf numFmtId="0" fontId="63" fillId="0" borderId="0" pivotButton="0" quotePrefix="0" xfId="0"/>
    <xf numFmtId="0" fontId="70" fillId="0" borderId="48" applyAlignment="1" pivotButton="0" quotePrefix="0" xfId="0">
      <alignment horizontal="center" vertical="center" wrapText="1"/>
    </xf>
    <xf numFmtId="0" fontId="54" fillId="0" borderId="49" pivotButton="0" quotePrefix="0" xfId="0"/>
    <xf numFmtId="0" fontId="71" fillId="0" borderId="0" applyAlignment="1" pivotButton="0" quotePrefix="0" xfId="0">
      <alignment vertical="top" wrapText="1"/>
    </xf>
    <xf numFmtId="9" fontId="72" fillId="0" borderId="50" applyAlignment="1" pivotButton="0" quotePrefix="0" xfId="0">
      <alignment horizontal="center" vertical="center" wrapText="1"/>
    </xf>
    <xf numFmtId="0" fontId="54" fillId="0" borderId="51" pivotButton="0" quotePrefix="0" xfId="0"/>
    <xf numFmtId="9" fontId="73" fillId="0" borderId="50" applyAlignment="1" pivotButton="0" quotePrefix="0" xfId="0">
      <alignment horizontal="center" vertical="center" wrapText="1"/>
    </xf>
    <xf numFmtId="1" fontId="74" fillId="0" borderId="50" applyAlignment="1" pivotButton="0" quotePrefix="0" xfId="0">
      <alignment horizontal="center" vertical="center" wrapText="1"/>
    </xf>
    <xf numFmtId="1" fontId="75" fillId="0" borderId="50" applyAlignment="1" pivotButton="0" quotePrefix="0" xfId="0">
      <alignment horizontal="center" vertical="center" wrapText="1"/>
    </xf>
    <xf numFmtId="0" fontId="54" fillId="0" borderId="52" pivotButton="0" quotePrefix="0" xfId="0"/>
    <xf numFmtId="0" fontId="76" fillId="0" borderId="53" applyAlignment="1" pivotButton="0" quotePrefix="0" xfId="0">
      <alignment horizontal="center" vertical="center" wrapText="1"/>
    </xf>
    <xf numFmtId="0" fontId="54" fillId="0" borderId="54" pivotButton="0" quotePrefix="0" xfId="0"/>
    <xf numFmtId="0" fontId="63" fillId="0" borderId="0" applyAlignment="1" pivotButton="0" quotePrefix="0" xfId="0">
      <alignment vertical="center"/>
    </xf>
    <xf numFmtId="0" fontId="77" fillId="0" borderId="0" pivotButton="0" quotePrefix="0" xfId="0"/>
    <xf numFmtId="0" fontId="58" fillId="16" borderId="0" applyAlignment="1" pivotButton="0" quotePrefix="0" xfId="0">
      <alignment horizontal="center" vertical="center" wrapText="1"/>
    </xf>
    <xf numFmtId="0" fontId="57" fillId="0" borderId="46" applyAlignment="1" pivotButton="0" quotePrefix="0" xfId="0">
      <alignment horizontal="center" vertical="center" wrapText="1"/>
    </xf>
    <xf numFmtId="9" fontId="57" fillId="0" borderId="46" applyAlignment="1" pivotButton="0" quotePrefix="0" xfId="0">
      <alignment horizontal="center" vertical="center" wrapText="1"/>
    </xf>
    <xf numFmtId="0" fontId="78" fillId="0" borderId="46" applyAlignment="1" pivotButton="0" quotePrefix="0" xfId="0">
      <alignment horizontal="center" vertical="center" wrapText="1"/>
    </xf>
    <xf numFmtId="0" fontId="60" fillId="20" borderId="46" applyAlignment="1" pivotButton="0" quotePrefix="0" xfId="0">
      <alignment horizontal="left" vertical="center" wrapText="1" indent="1"/>
    </xf>
    <xf numFmtId="0" fontId="57" fillId="20" borderId="46" applyAlignment="1" pivotButton="0" quotePrefix="0" xfId="0">
      <alignment horizontal="center" vertical="center" wrapText="1"/>
    </xf>
    <xf numFmtId="9" fontId="57" fillId="20" borderId="46" applyAlignment="1" pivotButton="0" quotePrefix="0" xfId="0">
      <alignment horizontal="center" vertical="center" wrapText="1"/>
    </xf>
    <xf numFmtId="0" fontId="78" fillId="20" borderId="46" applyAlignment="1" pivotButton="0" quotePrefix="0" xfId="0">
      <alignment horizontal="center" vertical="center" wrapText="1"/>
    </xf>
    <xf numFmtId="0" fontId="79" fillId="18" borderId="55" applyAlignment="1" pivotButton="0" quotePrefix="0" xfId="0">
      <alignment horizontal="left" vertical="center" wrapText="1" indent="1"/>
    </xf>
    <xf numFmtId="0" fontId="79" fillId="18" borderId="55" applyAlignment="1" pivotButton="0" quotePrefix="0" xfId="0">
      <alignment horizontal="center" vertical="center" wrapText="1"/>
    </xf>
    <xf numFmtId="165" fontId="79" fillId="18" borderId="55" applyAlignment="1" pivotButton="0" quotePrefix="0" xfId="0">
      <alignment horizontal="center" vertical="center" wrapText="1"/>
    </xf>
    <xf numFmtId="0" fontId="80" fillId="0" borderId="0" pivotButton="0" quotePrefix="0" xfId="0"/>
    <xf numFmtId="0" fontId="58" fillId="22" borderId="0" applyAlignment="1" pivotButton="0" quotePrefix="0" xfId="0">
      <alignment horizontal="left" vertical="center" wrapText="1" indent="1"/>
    </xf>
    <xf numFmtId="0" fontId="58" fillId="22" borderId="0" applyAlignment="1" pivotButton="0" quotePrefix="0" xfId="0">
      <alignment horizontal="center" vertical="center" wrapText="1"/>
    </xf>
    <xf numFmtId="0" fontId="82" fillId="17" borderId="46" applyAlignment="1" pivotButton="0" quotePrefix="0" xfId="0">
      <alignment horizontal="left" vertical="center" wrapText="1" indent="1"/>
    </xf>
    <xf numFmtId="0" fontId="83" fillId="0" borderId="46" applyAlignment="1" pivotButton="0" quotePrefix="0" xfId="0">
      <alignment horizontal="left" vertical="center" wrapText="1" indent="1"/>
    </xf>
    <xf numFmtId="3" fontId="84" fillId="0" borderId="46" applyAlignment="1" pivotButton="0" quotePrefix="0" xfId="0">
      <alignment horizontal="center" vertical="center" wrapText="1"/>
    </xf>
    <xf numFmtId="0" fontId="76" fillId="0" borderId="46" applyAlignment="1" pivotButton="0" quotePrefix="0" xfId="0">
      <alignment horizontal="center" vertical="center" wrapText="1"/>
    </xf>
    <xf numFmtId="3" fontId="82" fillId="17" borderId="46" applyAlignment="1" pivotButton="0" quotePrefix="0" xfId="0">
      <alignment horizontal="right" vertical="center" wrapText="1" indent="1"/>
    </xf>
    <xf numFmtId="0" fontId="85" fillId="0" borderId="0" pivotButton="0" quotePrefix="0" xfId="0"/>
    <xf numFmtId="0" fontId="86" fillId="0" borderId="46" applyAlignment="1" pivotButton="0" quotePrefix="0" xfId="0">
      <alignment horizontal="center" vertical="center" wrapText="1"/>
    </xf>
    <xf numFmtId="0" fontId="87" fillId="0" borderId="46" applyAlignment="1" pivotButton="0" quotePrefix="0" xfId="0">
      <alignment horizontal="center" vertical="center" wrapText="1"/>
    </xf>
    <xf numFmtId="3" fontId="79" fillId="0" borderId="46" applyAlignment="1" pivotButton="0" quotePrefix="0" xfId="0">
      <alignment horizontal="right" vertical="center" indent="1"/>
    </xf>
    <xf numFmtId="0" fontId="68" fillId="0" borderId="46" applyAlignment="1" pivotButton="0" quotePrefix="0" xfId="0">
      <alignment horizontal="center" vertical="center" wrapText="1"/>
    </xf>
    <xf numFmtId="0" fontId="88" fillId="0" borderId="0" applyAlignment="1" pivotButton="0" quotePrefix="0" xfId="0">
      <alignment vertical="top" wrapText="1"/>
    </xf>
    <xf numFmtId="0" fontId="89" fillId="16" borderId="56" applyAlignment="1" pivotButton="0" quotePrefix="0" xfId="0">
      <alignment horizontal="left" vertical="center" wrapText="1" indent="1"/>
    </xf>
    <xf numFmtId="0" fontId="77" fillId="18" borderId="57" applyAlignment="1" pivotButton="0" quotePrefix="0" xfId="0">
      <alignment vertical="center" wrapText="1" indent="1"/>
    </xf>
    <xf numFmtId="0" fontId="90" fillId="0" borderId="0" applyAlignment="1" pivotButton="0" quotePrefix="0" xfId="0">
      <alignment vertical="top" wrapText="1"/>
    </xf>
    <xf numFmtId="0" fontId="81" fillId="0" borderId="0" applyAlignment="1" pivotButton="0" quotePrefix="0" xfId="0">
      <alignment vertical="top" wrapText="1"/>
    </xf>
    <xf numFmtId="0" fontId="91" fillId="0" borderId="0" pivotButton="0" quotePrefix="0" xfId="0"/>
    <xf numFmtId="0" fontId="92" fillId="20" borderId="0" applyAlignment="1" pivotButton="0" quotePrefix="0" xfId="0">
      <alignment horizontal="left" vertical="center" wrapText="1" indent="1"/>
    </xf>
    <xf numFmtId="0" fontId="58" fillId="23" borderId="0" applyAlignment="1" pivotButton="0" quotePrefix="0" xfId="0">
      <alignment horizontal="center" vertical="center" wrapText="1"/>
    </xf>
    <xf numFmtId="0" fontId="93" fillId="16" borderId="58" applyAlignment="1" pivotButton="0" quotePrefix="0" xfId="0">
      <alignment horizontal="center" vertical="center" wrapText="1"/>
    </xf>
    <xf numFmtId="0" fontId="93" fillId="23" borderId="58" applyAlignment="1" pivotButton="0" quotePrefix="0" xfId="0">
      <alignment horizontal="center" vertical="center" wrapText="1"/>
    </xf>
    <xf numFmtId="0" fontId="93" fillId="22" borderId="58" applyAlignment="1" pivotButton="0" quotePrefix="0" xfId="0">
      <alignment horizontal="center" vertical="center" wrapText="1"/>
    </xf>
    <xf numFmtId="0" fontId="93" fillId="24" borderId="58" applyAlignment="1" pivotButton="0" quotePrefix="0" xfId="0">
      <alignment horizontal="center" vertical="center" wrapText="1"/>
    </xf>
    <xf numFmtId="0" fontId="92" fillId="18" borderId="55" applyAlignment="1" pivotButton="0" quotePrefix="0" xfId="0">
      <alignment vertical="center" indent="1"/>
    </xf>
    <xf numFmtId="0" fontId="54" fillId="0" borderId="55" pivotButton="0" quotePrefix="0" xfId="0"/>
    <xf numFmtId="0" fontId="54" fillId="18" borderId="55" pivotButton="0" quotePrefix="0" xfId="0"/>
    <xf numFmtId="166" fontId="92" fillId="18" borderId="55" applyAlignment="1" pivotButton="0" quotePrefix="0" xfId="0">
      <alignment horizontal="center" vertical="center" wrapText="1"/>
    </xf>
    <xf numFmtId="0" fontId="105" fillId="0" borderId="46" applyAlignment="1" pivotButton="0" quotePrefix="0" xfId="0">
      <alignment horizontal="center" vertical="center" wrapText="1"/>
    </xf>
    <xf numFmtId="0" fontId="83" fillId="0" borderId="46" applyAlignment="1" pivotButton="0" quotePrefix="0" xfId="0">
      <alignment horizontal="center" vertical="center" wrapText="1"/>
    </xf>
    <xf numFmtId="0" fontId="106" fillId="0" borderId="46" applyAlignment="1" pivotButton="0" quotePrefix="0" xfId="0">
      <alignment horizontal="center" vertical="center" wrapText="1"/>
    </xf>
    <xf numFmtId="0" fontId="71" fillId="0" borderId="46" applyAlignment="1" pivotButton="0" quotePrefix="0" xfId="0">
      <alignment horizontal="center" vertical="center" wrapText="1"/>
    </xf>
    <xf numFmtId="0" fontId="57" fillId="0" borderId="46" applyAlignment="1" pivotButton="0" quotePrefix="0" xfId="0">
      <alignment vertical="center" wrapText="1"/>
    </xf>
    <xf numFmtId="0" fontId="83" fillId="0" borderId="46" applyAlignment="1" pivotButton="0" quotePrefix="0" xfId="0">
      <alignment vertical="center" wrapText="1"/>
    </xf>
    <xf numFmtId="0" fontId="71" fillId="0" borderId="46" applyAlignment="1" pivotButton="0" quotePrefix="0" xfId="0">
      <alignment vertical="center" wrapText="1"/>
    </xf>
    <xf numFmtId="0" fontId="82" fillId="17" borderId="46" applyAlignment="1" pivotButton="0" quotePrefix="0" xfId="0">
      <alignment horizontal="center" vertical="center" wrapText="1"/>
    </xf>
    <xf numFmtId="0" fontId="64" fillId="17" borderId="46" applyAlignment="1" pivotButton="0" quotePrefix="0" xfId="0">
      <alignment horizontal="center" vertical="center" wrapText="1"/>
    </xf>
    <xf numFmtId="9" fontId="79" fillId="0" borderId="46" applyAlignment="1" pivotButton="0" quotePrefix="0" xfId="0">
      <alignment horizontal="center" vertical="center" wrapText="1"/>
    </xf>
    <xf numFmtId="164" fontId="64" fillId="17" borderId="46" applyAlignment="1" pivotButton="0" quotePrefix="0" xfId="0">
      <alignment horizontal="center" vertical="center" wrapText="1"/>
    </xf>
    <xf numFmtId="0" fontId="95" fillId="0" borderId="0" pivotButton="0" quotePrefix="0" xfId="0"/>
    <xf numFmtId="0" fontId="96" fillId="16" borderId="0" applyAlignment="1" pivotButton="0" quotePrefix="0" xfId="0">
      <alignment horizontal="left" vertical="center" wrapText="1" indent="1"/>
    </xf>
    <xf numFmtId="0" fontId="96" fillId="16" borderId="0" applyAlignment="1" pivotButton="0" quotePrefix="0" xfId="0">
      <alignment horizontal="center" vertical="center" wrapText="1"/>
    </xf>
    <xf numFmtId="0" fontId="97" fillId="0" borderId="0" pivotButton="0" quotePrefix="0" xfId="0"/>
    <xf numFmtId="0" fontId="98" fillId="25" borderId="46" applyAlignment="1" pivotButton="0" quotePrefix="0" xfId="0">
      <alignment horizontal="left" vertical="center" wrapText="1" indent="1"/>
    </xf>
    <xf numFmtId="0" fontId="99" fillId="26" borderId="46" applyAlignment="1" pivotButton="0" quotePrefix="0" xfId="0">
      <alignment horizontal="left" vertical="center" wrapText="1" indent="1"/>
    </xf>
    <xf numFmtId="0" fontId="100" fillId="21" borderId="46" applyAlignment="1" pivotButton="0" quotePrefix="0" xfId="0">
      <alignment horizontal="left" vertical="center" wrapText="1" indent="1"/>
    </xf>
    <xf numFmtId="0" fontId="101" fillId="27" borderId="46" applyAlignment="1" pivotButton="0" quotePrefix="0" xfId="0">
      <alignment horizontal="left" vertical="center" wrapText="1" indent="1"/>
    </xf>
    <xf numFmtId="0" fontId="59" fillId="28" borderId="46" applyAlignment="1" pivotButton="0" quotePrefix="0" xfId="0">
      <alignment horizontal="left" vertical="center" wrapText="1" indent="1"/>
    </xf>
    <xf numFmtId="0" fontId="102" fillId="18" borderId="46" applyAlignment="1" pivotButton="0" quotePrefix="0" xfId="0">
      <alignment horizontal="left" vertical="center" wrapText="1" indent="1"/>
    </xf>
    <xf numFmtId="0" fontId="79" fillId="0" borderId="46" applyAlignment="1" pivotButton="0" quotePrefix="0" xfId="0">
      <alignment horizontal="center" vertical="center" wrapText="1"/>
    </xf>
    <xf numFmtId="9" fontId="82" fillId="17" borderId="46" applyAlignment="1" pivotButton="0" quotePrefix="0" xfId="0">
      <alignment horizontal="center" vertical="center" wrapText="1"/>
    </xf>
    <xf numFmtId="9" fontId="103" fillId="20" borderId="46" applyAlignment="1" pivotButton="0" quotePrefix="0" xfId="0">
      <alignment horizontal="center" vertical="center" wrapText="1"/>
    </xf>
    <xf numFmtId="0" fontId="104" fillId="0" borderId="46" applyAlignment="1" pivotButton="0" quotePrefix="0" xfId="0">
      <alignment horizontal="center" vertical="center" wrapText="1"/>
    </xf>
  </cellXfs>
  <cellStyles count="1">
    <cellStyle name="Normal" xfId="0" builtinId="0" hidden="0"/>
  </cellStyles>
  <dxfs count="16">
    <dxf>
      <font>
        <name val="Arial"/>
        <b val="1"/>
        <color rgb="FF3D6B47"/>
      </font>
      <fill>
        <patternFill patternType="solid">
          <fgColor rgb="FFDCE7D8"/>
          <bgColor rgb="FFDCE7D8"/>
        </patternFill>
      </fill>
    </dxf>
    <dxf>
      <font>
        <name val="Arial"/>
        <b val="1"/>
        <color rgb="FF7A5A0F"/>
      </font>
      <fill>
        <patternFill patternType="solid">
          <fgColor rgb="FFF6EAC2"/>
          <bgColor rgb="FFF6EAC2"/>
        </patternFill>
      </fill>
    </dxf>
    <dxf>
      <font>
        <name val="Arial"/>
        <b val="1"/>
        <color rgb="FF8A4B0F"/>
      </font>
      <fill>
        <patternFill patternType="solid">
          <fgColor rgb="FFF3DDC8"/>
          <bgColor rgb="FFF3DDC8"/>
        </patternFill>
      </fill>
    </dxf>
    <dxf>
      <font>
        <name val="Arial"/>
        <b val="1"/>
        <color rgb="FFA12B22"/>
      </font>
      <fill>
        <patternFill patternType="solid">
          <fgColor rgb="FFF2D7D1"/>
          <bgColor rgb="FFF2D7D1"/>
        </patternFill>
      </fill>
    </dxf>
    <dxf>
      <font>
        <name val="Arial"/>
        <b val="1"/>
        <color rgb="FF3D6B47"/>
      </font>
    </dxf>
    <dxf>
      <font>
        <name val="Arial"/>
        <b val="1"/>
        <color rgb="FF7A5A0F"/>
      </font>
    </dxf>
    <dxf>
      <font>
        <name val="Arial"/>
        <b val="1"/>
        <color rgb="FF8A4B0F"/>
      </font>
    </dxf>
    <dxf>
      <font>
        <name val="Arial"/>
        <b val="1"/>
        <color rgb="FFA12B22"/>
      </font>
    </dxf>
    <dxf>
      <font>
        <name val="Arial"/>
        <b val="1"/>
        <color rgb="FFA12B22"/>
        <sz val="9"/>
      </font>
      <fill>
        <patternFill patternType="solid">
          <fgColor rgb="FFF2D7D1"/>
          <bgColor rgb="FFF2D7D1"/>
        </patternFill>
      </fill>
    </dxf>
    <dxf>
      <font>
        <name val="Arial"/>
        <b val="1"/>
        <color rgb="FF8A4B0F"/>
        <sz val="9"/>
      </font>
      <fill>
        <patternFill patternType="solid">
          <fgColor rgb="FFF3DDC8"/>
          <bgColor rgb="FFF3DDC8"/>
        </patternFill>
      </fill>
    </dxf>
    <dxf>
      <font>
        <name val="Arial"/>
        <b val="1"/>
        <color rgb="FF3D6B47"/>
        <sz val="9"/>
      </font>
      <fill>
        <patternFill patternType="solid">
          <fgColor rgb="FFDCE7D8"/>
          <bgColor rgb="FFDCE7D8"/>
        </patternFill>
      </fill>
    </dxf>
    <dxf>
      <font>
        <name val="Arial"/>
        <b val="1"/>
        <color rgb="FF7A5A0F"/>
        <sz val="9"/>
      </font>
      <fill>
        <patternFill patternType="solid">
          <fgColor rgb="FFF6EAC2"/>
          <bgColor rgb="FFF6EAC2"/>
        </patternFill>
      </fill>
    </dxf>
    <dxf>
      <font>
        <name val="Arial"/>
        <b val="1"/>
        <color rgb="FF57534A"/>
        <sz val="9"/>
      </font>
      <fill>
        <patternFill patternType="solid">
          <fgColor rgb="FFEBE4D5"/>
          <bgColor rgb="FFEBE4D5"/>
        </patternFill>
      </fill>
    </dxf>
    <dxf>
      <font>
        <name val="Arial"/>
        <b val="1"/>
        <color rgb="FF4F6B2A"/>
        <sz val="9"/>
      </font>
      <fill>
        <patternFill patternType="solid">
          <fgColor rgb="FFE7ECD8"/>
          <bgColor rgb="FFE7ECD8"/>
        </patternFill>
      </fill>
    </dxf>
    <dxf>
      <font>
        <name val="Arial"/>
        <b val="1"/>
        <color rgb="FF857F72"/>
        <sz val="9"/>
      </font>
      <fill>
        <patternFill patternType="solid">
          <fgColor rgb="FFEBE4D5"/>
          <bgColor rgb="FFEBE4D5"/>
        </patternFill>
      </fill>
    </dxf>
    <dxf>
      <font>
        <name val="Arial"/>
        <color rgb="FFA39C8D"/>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style val="2"/>
  <chart>
    <title>
      <tx>
        <rich>
          <a:bodyPr xmlns:a="http://schemas.openxmlformats.org/drawingml/2006/main"/>
          <a:p xmlns:a="http://schemas.openxmlformats.org/drawingml/2006/main">
            <a:pPr>
              <a:defRPr/>
            </a:pPr>
            <a:r>
              <a:t>% por componente · Sistema</a:t>
            </a:r>
          </a:p>
        </rich>
      </tx>
    </title>
    <plotArea>
      <barChart>
        <barDir val="bar"/>
        <grouping val="clustered"/>
        <ser>
          <idx val="0"/>
          <order val="0"/>
          <tx>
            <strRef>
              <f>'Tablero'!F19</f>
            </strRef>
          </tx>
          <spPr>
            <a:solidFill xmlns:a="http://schemas.openxmlformats.org/drawingml/2006/main">
              <a:srgbClr val="A12B22"/>
            </a:solidFill>
            <a:ln xmlns:a="http://schemas.openxmlformats.org/drawingml/2006/main">
              <a:solidFill>
                <a:srgbClr val="A12B22"/>
              </a:solidFill>
              <a:prstDash val="solid"/>
            </a:ln>
          </spPr>
          <cat>
            <numRef>
              <f>'Tablero'!$B$20:$B$34</f>
            </numRef>
          </cat>
          <val>
            <numRef>
              <f>'Tablero'!$F$20:$F$34</f>
            </numRef>
          </val>
        </ser>
        <dLbls>
          <numFmt formatCode="0%"/>
          <showLegendKey val="0"/>
          <showVal val="1"/>
          <showCatName val="0"/>
          <showSerName val="0"/>
          <showPercent val="0"/>
        </dLbls>
        <gapWidth val="60"/>
        <axId val="10"/>
        <axId val="100"/>
      </barChart>
      <catAx>
        <axId val="10"/>
        <scaling>
          <orientation val="maxMin"/>
        </scaling>
        <delete val="0"/>
        <axPos val="l"/>
        <majorTickMark val="none"/>
        <minorTickMark val="none"/>
        <crossAx val="100"/>
        <lblOffset val="100"/>
      </catAx>
      <valAx>
        <axId val="100"/>
        <scaling>
          <orientation val="minMax"/>
          <max val="1"/>
          <min val="0"/>
        </scaling>
        <delete val="0"/>
        <axPos val="l"/>
        <majorGridlines>
          <spPr>
            <a:ln xmlns:a="http://schemas.openxmlformats.org/drawingml/2006/main">
              <a:solidFill>
                <a:srgbClr val="D3CAB7"/>
              </a:solidFill>
              <a:prstDash val="solid"/>
            </a:ln>
          </spPr>
        </majorGridlines>
        <numFmt formatCode="0%" sourceLinked="0"/>
        <majorTickMark val="none"/>
        <minorTickMark val="none"/>
        <crossAx val="10"/>
        <majorUnit val="0.25"/>
      </valAx>
    </plotArea>
    <plotVisOnly val="1"/>
    <dispBlanksAs val="gap"/>
  </chart>
</chartSpace>
</file>

<file path=xl/charts/chart2.xml><?xml version="1.0" encoding="utf-8"?>
<chartSpace xmlns="http://schemas.openxmlformats.org/drawingml/2006/chart">
  <style val="2"/>
  <chart>
    <title>
      <tx>
        <rich>
          <a:bodyPr xmlns:a="http://schemas.openxmlformats.org/drawingml/2006/main"/>
          <a:p xmlns:a="http://schemas.openxmlformats.org/drawingml/2006/main">
            <a:pPr>
              <a:defRPr/>
            </a:pPr>
            <a:r>
              <a:t>% por componente · RMM</a:t>
            </a:r>
          </a:p>
        </rich>
      </tx>
    </title>
    <plotArea>
      <barChart>
        <barDir val="bar"/>
        <grouping val="clustered"/>
        <ser>
          <idx val="0"/>
          <order val="0"/>
          <tx>
            <strRef>
              <f>'Tablero'!F40</f>
            </strRef>
          </tx>
          <spPr>
            <a:solidFill xmlns:a="http://schemas.openxmlformats.org/drawingml/2006/main">
              <a:srgbClr val="A12B22"/>
            </a:solidFill>
            <a:ln xmlns:a="http://schemas.openxmlformats.org/drawingml/2006/main">
              <a:solidFill>
                <a:srgbClr val="A12B22"/>
              </a:solidFill>
              <a:prstDash val="solid"/>
            </a:ln>
          </spPr>
          <cat>
            <numRef>
              <f>'Tablero'!$B$41:$B$47</f>
            </numRef>
          </cat>
          <val>
            <numRef>
              <f>'Tablero'!$F$41:$F$47</f>
            </numRef>
          </val>
        </ser>
        <dLbls>
          <numFmt formatCode="0%"/>
          <showLegendKey val="0"/>
          <showVal val="1"/>
          <showCatName val="0"/>
          <showSerName val="0"/>
          <showPercent val="0"/>
        </dLbls>
        <gapWidth val="60"/>
        <axId val="10"/>
        <axId val="100"/>
      </barChart>
      <catAx>
        <axId val="10"/>
        <scaling>
          <orientation val="maxMin"/>
        </scaling>
        <delete val="0"/>
        <axPos val="l"/>
        <majorTickMark val="none"/>
        <minorTickMark val="none"/>
        <crossAx val="100"/>
        <lblOffset val="100"/>
      </catAx>
      <valAx>
        <axId val="100"/>
        <scaling>
          <orientation val="minMax"/>
          <max val="1"/>
          <min val="0"/>
        </scaling>
        <delete val="0"/>
        <axPos val="l"/>
        <majorGridlines>
          <spPr>
            <a:ln xmlns:a="http://schemas.openxmlformats.org/drawingml/2006/main">
              <a:solidFill>
                <a:srgbClr val="D3CAB7"/>
              </a:solidFill>
              <a:prstDash val="solid"/>
            </a:ln>
          </spPr>
        </majorGridlines>
        <numFmt formatCode="0%" sourceLinked="0"/>
        <majorTickMark val="none"/>
        <minorTickMark val="none"/>
        <crossAx val="10"/>
        <majorUnit val="0.25"/>
      </valAx>
    </plotArea>
    <plotVisOnly val="1"/>
    <dispBlanksAs val="gap"/>
  </chart>
</chartSpace>
</file>

<file path=xl/comments/comment1.xml><?xml version="1.0" encoding="utf-8"?>
<comments xmlns="http://schemas.openxmlformats.org/spreadsheetml/2006/main">
  <authors>
    <author>Criterio Compliance</author>
  </authors>
  <commentList>
    <comment ref="H6" authorId="0" shapeId="0">
      <text>
        <t>0 = recomendación (no suma al %), 1 = complementario, 2 = importante, 3 = crítico. Ver hoja 'Escala'.</t>
      </text>
    </comment>
    <comment ref="I6" authorId="0" shapeId="0">
      <text>
        <t>Seleccione un estado de la lista. 'No aplica' excluye el requisito del cálculo.</t>
      </text>
    </comment>
    <comment ref="O6" authorId="0" shapeId="0">
      <text>
        <t>Rojo: fecha vencida y acción no cerrada. Naranja: fecha posterior al 31/05/2027 (plazo de transición).</t>
      </text>
    </comment>
  </commentList>
</comments>
</file>

<file path=xl/comments/comment2.xml><?xml version="1.0" encoding="utf-8"?>
<comments xmlns="http://schemas.openxmlformats.org/spreadsheetml/2006/main">
  <authors>
    <author>Criterio Compliance</author>
  </authors>
  <commentList>
    <comment ref="H6" authorId="0" shapeId="0">
      <text>
        <t>0 = recomendación (no suma al %), 1 = complementario, 2 = importante, 3 = crítico. Ver hoja 'Escala'.</t>
      </text>
    </comment>
    <comment ref="I6" authorId="0" shapeId="0">
      <text>
        <t>Seleccione un estado de la lista. 'No aplica' excluye el requisito del cálculo.</t>
      </text>
    </comment>
    <comment ref="O6" authorId="0" shapeId="0">
      <text>
        <t>Rojo: fecha vencida y acción no cerrada. Naranja: fecha posterior al 31/05/2027 (plazo de transición).</t>
      </text>
    </comment>
  </commentList>
</comments>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14</col>
      <colOff>0</colOff>
      <row>17</row>
      <rowOff>0</rowOff>
    </from>
    <ext cx="7200000" cy="4248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14</col>
      <colOff>0</colOff>
      <row>38</row>
      <rowOff>0</rowOff>
    </from>
    <ext cx="720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Tablero'!A1" TargetMode="External" Id="rId1"/><Relationship Type="http://schemas.openxmlformats.org/officeDocument/2006/relationships/hyperlink" Target="#'&#193;mbito de aplicaci&#243;n'!A1" TargetMode="External" Id="rId2"/><Relationship Type="http://schemas.openxmlformats.org/officeDocument/2006/relationships/hyperlink" Target="#'Matriz Sistema'!A1" TargetMode="External" Id="rId3"/><Relationship Type="http://schemas.openxmlformats.org/officeDocument/2006/relationships/hyperlink" Target="#'Matriz RMM'!A1" TargetMode="External" Id="rId4"/><Relationship Type="http://schemas.openxmlformats.org/officeDocument/2006/relationships/hyperlink" Target="#'Escala'!A1" TargetMode="External" Id="rId5"/></Relationships>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5.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A12B22"/>
    <outlinePr summaryBelow="1" summaryRight="1"/>
    <pageSetUpPr fitToPage="1"/>
  </sheetPr>
  <dimension ref="A1:F45"/>
  <sheetViews>
    <sheetView showGridLines="0" workbookViewId="0">
      <selection activeCell="A1" sqref="A1"/>
    </sheetView>
  </sheetViews>
  <sheetFormatPr baseColWidth="8" defaultRowHeight="15"/>
  <cols>
    <col width="2" customWidth="1" min="1" max="1"/>
    <col width="34" customWidth="1" min="2" max="2"/>
    <col width="26" customWidth="1" min="3" max="3"/>
    <col width="32" customWidth="1" min="4" max="4"/>
    <col width="32" customWidth="1" min="5" max="5"/>
    <col width="40" customWidth="1" min="6" max="6"/>
  </cols>
  <sheetData>
    <row r="1" ht="20" customHeight="1">
      <c r="A1" s="130" t="n"/>
      <c r="B1" s="131" t="inlineStr">
        <is>
          <t>CRITERIO COMPLIANCE  ·  criteriocompliance.com  ·  EJEMPLO DILIGENCIADO</t>
        </is>
      </c>
      <c r="C1" s="130" t="n"/>
      <c r="D1" s="130" t="n"/>
      <c r="E1" s="130" t="n"/>
      <c r="F1" s="130" t="n"/>
    </row>
    <row r="2">
      <c r="A2" s="130" t="n"/>
      <c r="B2" s="132" t="inlineStr">
        <is>
          <t>Matriz de cumplimiento · Capítulo IX de la Circular Básica Jurídica</t>
        </is>
      </c>
      <c r="C2" s="130" t="n"/>
      <c r="D2" s="130" t="n"/>
      <c r="E2" s="130" t="n"/>
      <c r="F2" s="130" t="n"/>
    </row>
    <row r="3">
      <c r="A3" s="130" t="n"/>
      <c r="B3" s="133" t="inlineStr">
        <is>
          <t>Sistema de Autocontrol y Gestión de Riesgos LA/FT/FP y C/ST · Circular Externa 100-000020 del 2 de julio de 2026 · Supersociedades</t>
        </is>
      </c>
      <c r="C3" s="130" t="n"/>
      <c r="D3" s="130" t="n"/>
      <c r="E3" s="130" t="n"/>
      <c r="F3" s="130" t="n"/>
    </row>
    <row r="4">
      <c r="A4" s="130" t="n"/>
      <c r="B4" s="134" t="inlineStr">
        <is>
          <t>Ejemplo ilustrativo con una empresa ficticia: los datos, actas y porcentajes no corresponden a ninguna empresa real. Herramienta orientativa de autodiagnóstico. No reemplaza la asesoría de un profesional ni constituye una certificación de cumplimiento.</t>
        </is>
      </c>
    </row>
    <row r="5" ht="42" customHeight="1">
      <c r="A5" s="130" t="n"/>
      <c r="B5" s="135" t="inlineStr">
        <is>
          <t>La Circular 100-000020 de 2026 deroga el SAGRILAFT (CE 100-000016/2020) y el PTEE (CE 100-000011/2021) y los unifica en un solo Sistema (Capítulo IX, págs. 155-207). Este libro convierte cada obligación en un requisito medible: qué exige, dónde lo dice y cómo se demuestra.</t>
        </is>
      </c>
      <c r="C5" s="130" t="n"/>
      <c r="D5" s="130" t="n"/>
      <c r="E5" s="130" t="n"/>
      <c r="F5" s="130" t="n"/>
    </row>
    <row r="6">
      <c r="A6" s="130" t="n"/>
      <c r="B6" s="130" t="n"/>
      <c r="C6" s="130" t="n"/>
      <c r="D6" s="130" t="n"/>
      <c r="E6" s="130" t="n"/>
      <c r="F6" s="130" t="n"/>
    </row>
    <row r="7" ht="22" customHeight="1">
      <c r="A7" s="130" t="n"/>
      <c r="B7" s="136" t="inlineStr">
        <is>
          <t>MAPA DEL LIBRO</t>
        </is>
      </c>
      <c r="C7" s="137" t="n"/>
      <c r="D7" s="137" t="n"/>
      <c r="E7" s="137" t="n"/>
      <c r="F7" s="137" t="n"/>
    </row>
    <row r="8" ht="22" customHeight="1">
      <c r="A8" s="130" t="n"/>
      <c r="B8" s="138" t="inlineStr">
        <is>
          <t>Tablero</t>
        </is>
      </c>
      <c r="C8" s="139" t="inlineStr">
        <is>
          <t>Resumen: % global, semáforo, avance y resultados por componente con gráfico.</t>
        </is>
      </c>
      <c r="D8" s="140" t="n"/>
      <c r="E8" s="140" t="n"/>
      <c r="F8" s="140" t="n"/>
    </row>
    <row r="9" ht="22" customHeight="1">
      <c r="A9" s="130" t="n"/>
      <c r="B9" s="138" t="inlineStr">
        <is>
          <t>Ámbito de aplicación</t>
        </is>
      </c>
      <c r="C9" s="139" t="inlineStr">
        <is>
          <t>Paso 1. Confirma si a la empresa le aplica el Sistema completo, el RMM o ninguno.</t>
        </is>
      </c>
      <c r="D9" s="140" t="n"/>
      <c r="E9" s="140" t="n"/>
      <c r="F9" s="140" t="n"/>
    </row>
    <row r="10" ht="22" customHeight="1">
      <c r="A10" s="130" t="n"/>
      <c r="B10" s="138" t="inlineStr">
        <is>
          <t>Matriz Sistema</t>
        </is>
      </c>
      <c r="C10" s="139" t="inlineStr">
        <is>
          <t>Paso 2. 115 requisitos del régimen general, agrupados en 15 componentes.</t>
        </is>
      </c>
      <c r="D10" s="140" t="n"/>
      <c r="E10" s="140" t="n"/>
      <c r="F10" s="140" t="n"/>
    </row>
    <row r="11" ht="22" customHeight="1">
      <c r="A11" s="130" t="n"/>
      <c r="B11" s="138" t="inlineStr">
        <is>
          <t>Matriz RMM</t>
        </is>
      </c>
      <c r="C11" s="139" t="inlineStr">
        <is>
          <t>Paso 2 (alternativo). 22 requisitos del Régimen de Medidas Mínimas.</t>
        </is>
      </c>
      <c r="D11" s="140" t="n"/>
      <c r="E11" s="140" t="n"/>
      <c r="F11" s="140" t="n"/>
    </row>
    <row r="12" ht="22" customHeight="1">
      <c r="A12" s="130" t="n"/>
      <c r="B12" s="138" t="inlineStr">
        <is>
          <t>Escala</t>
        </is>
      </c>
      <c r="C12" s="139" t="inlineStr">
        <is>
          <t>Valores de cada estado, umbrales del semáforo y significado de los pesos.</t>
        </is>
      </c>
      <c r="D12" s="140" t="n"/>
      <c r="E12" s="140" t="n"/>
      <c r="F12" s="140" t="n"/>
    </row>
    <row r="13">
      <c r="A13" s="130" t="n"/>
      <c r="B13" s="130" t="n"/>
      <c r="C13" s="130" t="n"/>
      <c r="D13" s="130" t="n"/>
      <c r="E13" s="130" t="n"/>
      <c r="F13" s="130" t="n"/>
    </row>
    <row r="14" ht="22" customHeight="1">
      <c r="A14" s="130" t="n"/>
      <c r="B14" s="136" t="inlineStr">
        <is>
          <t>CÓMO SE CALCULA EL PORCENTAJE</t>
        </is>
      </c>
      <c r="C14" s="137" t="n"/>
      <c r="D14" s="137" t="n"/>
      <c r="E14" s="137" t="n"/>
      <c r="F14" s="137" t="n"/>
    </row>
    <row r="15" ht="26" customHeight="1">
      <c r="A15" s="130" t="n"/>
      <c r="B15" s="141" t="inlineStr">
        <is>
          <t>Cada estado tiene un valor: Cumple totalmente 100% · En gran medida 75% · Parcialmente 50% · Incipiente 25% · No cumple 0%.</t>
        </is>
      </c>
      <c r="C15" s="130" t="n"/>
      <c r="D15" s="130" t="n"/>
      <c r="E15" s="130" t="n"/>
      <c r="F15" s="130" t="n"/>
    </row>
    <row r="16" ht="26" customHeight="1">
      <c r="A16" s="130" t="n"/>
      <c r="B16" s="141" t="inlineStr">
        <is>
          <t>% de un componente = Σ(valor × peso) ÷ Σ(peso de los requisitos que aplican). 'No aplica' y el peso 0 (recomendaciones) se excluyen; sin calificar cuenta como 0% (criterio conservador).</t>
        </is>
      </c>
      <c r="C16" s="130" t="n"/>
      <c r="D16" s="130" t="n"/>
      <c r="E16" s="130" t="n"/>
      <c r="F16" s="130" t="n"/>
    </row>
    <row r="17" ht="26" customHeight="1">
      <c r="A17" s="130" t="n"/>
      <c r="B17" s="141" t="inlineStr">
        <is>
          <t>Plan de acción: la fecha se pone en rojo si venció y la acción no está 'Cerrada', y en naranja si es posterior al 31/05/2027.</t>
        </is>
      </c>
      <c r="C17" s="130" t="n"/>
      <c r="D17" s="130" t="n"/>
      <c r="E17" s="130" t="n"/>
      <c r="F17" s="130" t="n"/>
    </row>
    <row r="18" ht="26" customHeight="1">
      <c r="A18" s="130" t="n"/>
      <c r="B18" s="141" t="inlineStr">
        <is>
          <t>El '% de avance' muestra cuántos requisitos aplicables ya se calificaron.</t>
        </is>
      </c>
      <c r="C18" s="130" t="n"/>
      <c r="D18" s="130" t="n"/>
      <c r="E18" s="130" t="n"/>
      <c r="F18" s="130" t="n"/>
    </row>
    <row r="19" ht="22" customHeight="1">
      <c r="A19" s="130" t="n"/>
      <c r="B19" s="136" t="inlineStr">
        <is>
          <t>CONVENCIONES</t>
        </is>
      </c>
      <c r="C19" s="137" t="n"/>
      <c r="D19" s="137" t="n"/>
      <c r="E19" s="137" t="n"/>
      <c r="F19" s="137" t="n"/>
    </row>
    <row r="20" ht="22" customHeight="1">
      <c r="A20" s="130" t="n"/>
      <c r="B20" s="142" t="inlineStr">
        <is>
          <t>Celda amarilla, texto azul</t>
        </is>
      </c>
      <c r="C20" s="141" t="inlineStr">
        <is>
          <t>Dato que usted diligencia.</t>
        </is>
      </c>
      <c r="D20" s="130" t="n"/>
      <c r="E20" s="130" t="n"/>
      <c r="F20" s="130" t="n"/>
    </row>
    <row r="21" ht="22" customHeight="1">
      <c r="A21" s="130" t="n"/>
      <c r="B21" s="143" t="inlineStr">
        <is>
          <t>Banda gris azulada</t>
        </is>
      </c>
      <c r="C21" s="141" t="inlineStr">
        <is>
          <t>Título de componente con su % en vivo.</t>
        </is>
      </c>
      <c r="D21" s="130" t="n"/>
      <c r="E21" s="130" t="n"/>
      <c r="F21" s="130" t="n"/>
    </row>
    <row r="22" ht="22" customHeight="1">
      <c r="A22" s="130" t="n"/>
      <c r="B22" s="144" t="inlineStr">
        <is>
          <t>Celda blanca</t>
        </is>
      </c>
      <c r="C22" s="141" t="inlineStr">
        <is>
          <t>Texto de la Circular o fórmula (no editar).</t>
        </is>
      </c>
      <c r="D22" s="130" t="n"/>
      <c r="E22" s="130" t="n"/>
      <c r="F22" s="130" t="n"/>
    </row>
    <row r="23">
      <c r="A23" s="130" t="n"/>
      <c r="B23" s="130" t="n"/>
      <c r="C23" s="130" t="n"/>
      <c r="D23" s="130" t="n"/>
      <c r="E23" s="130" t="n"/>
      <c r="F23" s="130" t="n"/>
    </row>
    <row r="24" ht="22" customHeight="1">
      <c r="A24" s="130" t="n"/>
      <c r="B24" s="136" t="inlineStr">
        <is>
          <t>EJEMPLO DE UNA FILA DILIGENCIADA (solo referencia)</t>
        </is>
      </c>
      <c r="C24" s="137" t="n"/>
      <c r="D24" s="137" t="n"/>
      <c r="E24" s="137" t="n"/>
      <c r="F24" s="137" t="n"/>
    </row>
    <row r="25">
      <c r="A25" s="130" t="n"/>
      <c r="B25" s="145" t="inlineStr">
        <is>
          <t>Requisito</t>
        </is>
      </c>
      <c r="C25" s="145" t="inlineStr">
        <is>
          <t>Estado</t>
        </is>
      </c>
      <c r="D25" s="145" t="inlineStr">
        <is>
          <t>Evidencia revisada</t>
        </is>
      </c>
      <c r="E25" s="145" t="inlineStr">
        <is>
          <t>Brecha</t>
        </is>
      </c>
      <c r="F25" s="145" t="inlineStr">
        <is>
          <t>Acción de mejora</t>
        </is>
      </c>
    </row>
    <row r="26" ht="54" customHeight="1">
      <c r="A26" s="130" t="n"/>
      <c r="B26" s="146" t="inlineStr">
        <is>
          <t>S-111 · Presentar AROS dentro de los 10 días calendario siguientes a cada trimestre sin ROS</t>
        </is>
      </c>
      <c r="C26" s="147" t="inlineStr">
        <is>
          <t>Cumple parcialmente</t>
        </is>
      </c>
      <c r="D26" s="146" t="inlineStr">
        <is>
          <t>Constancias SIREL T1 y T2 2026 radicadas a tiempo</t>
        </is>
      </c>
      <c r="E26" s="146" t="inlineStr">
        <is>
          <t>AROS del T3 2026 radicado el día 14 (fuera de plazo)</t>
        </is>
      </c>
      <c r="F26" s="146" t="inlineStr">
        <is>
          <t>Alerta de calendario el día 1 de cada trimestre; suplente como respaldo · 30/11/2026</t>
        </is>
      </c>
    </row>
    <row r="27">
      <c r="A27" s="130" t="n"/>
      <c r="B27" s="130" t="n"/>
      <c r="C27" s="130" t="n"/>
      <c r="D27" s="130" t="n"/>
      <c r="E27" s="130" t="n"/>
      <c r="F27" s="130" t="n"/>
    </row>
    <row r="28" ht="22" customHeight="1">
      <c r="A28" s="130" t="n"/>
      <c r="B28" s="136" t="inlineStr">
        <is>
          <t>ALCANCE Y ADVERTENCIAS</t>
        </is>
      </c>
      <c r="C28" s="137" t="n"/>
      <c r="D28" s="137" t="n"/>
      <c r="E28" s="137" t="n"/>
      <c r="F28" s="137" t="n"/>
    </row>
    <row r="29" ht="30" customHeight="1">
      <c r="A29" s="130" t="n"/>
      <c r="B29" s="141" t="inlineStr">
        <is>
          <t>•  Los requisitos parafrasean la Circular; ante cualquier duda prevalece su texto (ver numeral y página de cada fila).</t>
        </is>
      </c>
      <c r="C29" s="130" t="n"/>
      <c r="D29" s="130" t="n"/>
      <c r="E29" s="130" t="n"/>
      <c r="F29" s="130" t="n"/>
    </row>
    <row r="30" ht="30" customHeight="1">
      <c r="A30" s="130" t="n"/>
      <c r="B30" s="141" t="inlineStr">
        <is>
          <t>•  Plazo de transición (num. 9.29): quienes estaban obligados por las CE 100-000016/2020, 100-000011/2021 o 100-300000/2024 deben ajustar su Sistema a más tardar el 31 de mayo de 2027.</t>
        </is>
      </c>
      <c r="C30" s="130" t="n"/>
      <c r="D30" s="130" t="n"/>
      <c r="E30" s="130" t="n"/>
      <c r="F30" s="130" t="n"/>
    </row>
    <row r="31" ht="30" customHeight="1">
      <c r="A31" s="130" t="n"/>
      <c r="B31" s="141" t="inlineStr">
        <is>
          <t>•  Pesos y escala son una propuesta metodológica: la Circular no fija una fórmula de medición (el num. 9.26.2 recomienda métricas propias).</t>
        </is>
      </c>
      <c r="C31" s="130" t="n"/>
      <c r="D31" s="130" t="n"/>
      <c r="E31" s="130" t="n"/>
      <c r="F31" s="130" t="n"/>
    </row>
    <row r="32" ht="30" customHeight="1">
      <c r="A32" s="130" t="n"/>
      <c r="B32" s="141" t="inlineStr">
        <is>
          <t>•  Para agregar requisitos propios, inserte una fila dentro del bloque del componente y copie una fila existente completa (incluidas las columnas ocultas B, Q y R).</t>
        </is>
      </c>
      <c r="C32" s="130" t="n"/>
      <c r="D32" s="130" t="n"/>
      <c r="E32" s="130" t="n"/>
      <c r="F32" s="130" t="n"/>
    </row>
    <row r="33" ht="30" customHeight="1">
      <c r="A33" s="130" t="n"/>
      <c r="B33" s="141" t="inlineStr">
        <is>
          <t>•  Faltan los códigos S-29, S-58, S-65, S-71 y S-79: se retiraron porque repetían otros requisitos y castigaban dos veces la misma brecha. S-44 y S-118 se dividieron en A y B.</t>
        </is>
      </c>
      <c r="C33" s="130" t="n"/>
      <c r="D33" s="130" t="n"/>
      <c r="E33" s="130" t="n"/>
      <c r="F33" s="130" t="n"/>
    </row>
    <row r="35" ht="22" customHeight="1">
      <c r="B35" s="148" t="inlineStr">
        <is>
          <t>AVISO IMPORTANTE</t>
        </is>
      </c>
      <c r="C35" s="149" t="n"/>
      <c r="D35" s="149" t="n"/>
      <c r="E35" s="149" t="n"/>
      <c r="F35" s="149" t="n"/>
    </row>
    <row r="36" ht="30" customHeight="1">
      <c r="B36" s="135" t="inlineStr">
        <is>
          <t>•  Esta matriz es una herramienta de autodiagnóstico de uso orientativo. No constituye asesoría jurídica, contable ni de cumplimiento, y su uso no crea una relación profesional con Criterio Compliance.</t>
        </is>
      </c>
    </row>
    <row r="37" ht="30" customHeight="1">
      <c r="B37" s="135" t="inlineStr">
        <is>
          <t>•  El resultado no es una certificación ni una opinión sobre el cumplimiento de su empresa. No sustituye la evaluación del Oficial de Cumplimiento, de la revisoría fiscal ni de un profesional que conozca su caso.</t>
        </is>
      </c>
    </row>
    <row r="38" ht="30" customHeight="1">
      <c r="B38" s="135" t="inlineStr">
        <is>
          <t>•  Un porcentaje alto no garantiza que la Superintendencia de Sociedades considere adecuado el Sistema: la autoridad revisa la implementación efectiva y sus soportes, no el puntaje de esta matriz.</t>
        </is>
      </c>
    </row>
    <row r="39" ht="30" customHeight="1">
      <c r="B39" s="135" t="inlineStr">
        <is>
          <t>•  Los requisitos resumen el texto de la Circular Externa 100-000020 de 2026, expedida y publicada el 2 de julio de 2026. Verifique si hay modificaciones posteriores antes de usarla.</t>
        </is>
      </c>
    </row>
    <row r="40" ht="30" customHeight="1">
      <c r="B40" s="135" t="inlineStr">
        <is>
          <t>•  Antes de tomar decisiones con base en el resultado (aprobar documentos, designar al Oficial de Cumplimiento, reportar a la UIAF), consulte con un profesional.</t>
        </is>
      </c>
    </row>
    <row r="42" ht="22" customHeight="1">
      <c r="B42" s="148" t="inlineStr">
        <is>
          <t>CRÉDITOS Y USO</t>
        </is>
      </c>
      <c r="C42" s="149" t="n"/>
      <c r="D42" s="149" t="n"/>
      <c r="E42" s="149" t="n"/>
      <c r="F42" s="149" t="n"/>
    </row>
    <row r="43" ht="18" customHeight="1">
      <c r="B43" s="135" t="inlineStr">
        <is>
          <t>Elaborado por Criterio Compliance (criteriocompliance.com). Versión 4, octubre de 2026.</t>
        </is>
      </c>
    </row>
    <row r="44" ht="30" customHeight="1">
      <c r="B44" s="135" t="inlineStr">
        <is>
          <t>Puede usar y adaptar esta matriz en su empresa sin costo. Si la comparte o la publica, cite la fuente y no la comercialice.</t>
        </is>
      </c>
    </row>
    <row r="45" ht="30" customHeight="1">
      <c r="B45" s="135" t="inlineStr">
        <is>
          <t>Fuente normativa: Superintendencia de Sociedades, Circular Externa 100-000020 de 2026, Capítulo IX de la Circular Básica Jurídica (numerales 9.1 a 9.31).</t>
        </is>
      </c>
    </row>
  </sheetData>
  <mergeCells count="27">
    <mergeCell ref="B4:F4"/>
    <mergeCell ref="C8:F8"/>
    <mergeCell ref="B16:F16"/>
    <mergeCell ref="B31:F31"/>
    <mergeCell ref="B18:F18"/>
    <mergeCell ref="B43:F43"/>
    <mergeCell ref="B39:F39"/>
    <mergeCell ref="B17:F17"/>
    <mergeCell ref="B44:F44"/>
    <mergeCell ref="B29:F29"/>
    <mergeCell ref="B38:F38"/>
    <mergeCell ref="C20:F20"/>
    <mergeCell ref="B37:F37"/>
    <mergeCell ref="C10:F10"/>
    <mergeCell ref="B40:F40"/>
    <mergeCell ref="C22:F22"/>
    <mergeCell ref="B30:F30"/>
    <mergeCell ref="C9:F9"/>
    <mergeCell ref="B15:F15"/>
    <mergeCell ref="B33:F33"/>
    <mergeCell ref="C12:F12"/>
    <mergeCell ref="B5:F5"/>
    <mergeCell ref="C21:F21"/>
    <mergeCell ref="B45:F45"/>
    <mergeCell ref="C11:F11"/>
    <mergeCell ref="B36:F36"/>
    <mergeCell ref="B32:F32"/>
  </mergeCells>
  <hyperlinks>
    <hyperlink xmlns:r="http://schemas.openxmlformats.org/officeDocument/2006/relationships" ref="B8" r:id="rId1"/>
    <hyperlink xmlns:r="http://schemas.openxmlformats.org/officeDocument/2006/relationships" ref="B9" r:id="rId2"/>
    <hyperlink xmlns:r="http://schemas.openxmlformats.org/officeDocument/2006/relationships" ref="B10" r:id="rId3"/>
    <hyperlink xmlns:r="http://schemas.openxmlformats.org/officeDocument/2006/relationships" ref="B11" r:id="rId4"/>
    <hyperlink xmlns:r="http://schemas.openxmlformats.org/officeDocument/2006/relationships" ref="B12" r:id="rId5"/>
  </hyperlinks>
  <pageMargins left="0.75" right="0.75" top="1" bottom="1" header="0.5" footer="0.5"/>
  <pageSetup fitToHeight="0" fitToWidth="1"/>
  <headerFooter>
    <oddHeader>&amp;L&amp;"Georgia,Bold"&amp;KA12B22Criterio Compliance&amp;R&amp;K57534A&amp;A</oddHeader>
    <oddFooter>&amp;L&amp;8 &amp;K57534Acriteriocompliance.com · Herramienta orientativa: no reemplaza la asesoría profesional&amp;R&amp;8 Pág. &amp;P de &amp;N</oddFooter>
    <evenHeader/>
    <evenFooter/>
    <firstHeader/>
    <firstFooter/>
  </headerFooter>
</worksheet>
</file>

<file path=xl/worksheets/sheet2.xml><?xml version="1.0" encoding="utf-8"?>
<worksheet xmlns="http://schemas.openxmlformats.org/spreadsheetml/2006/main">
  <sheetPr>
    <tabColor rgb="001B1A17"/>
    <outlinePr summaryBelow="1" summaryRight="1"/>
    <pageSetUpPr fitToPage="1"/>
  </sheetPr>
  <dimension ref="A1:M48"/>
  <sheetViews>
    <sheetView showGridLines="0" zoomScale="90" workbookViewId="0">
      <pane ySplit="4" topLeftCell="A5" activePane="bottomLeft" state="frozen"/>
      <selection pane="bottomLeft" activeCell="A1" sqref="A1"/>
    </sheetView>
  </sheetViews>
  <sheetFormatPr baseColWidth="8" defaultRowHeight="15"/>
  <cols>
    <col width="2" customWidth="1" min="1" max="1"/>
    <col width="44" customWidth="1" min="2" max="2"/>
    <col width="11" customWidth="1" min="3" max="3"/>
    <col width="10" customWidth="1" min="4" max="4"/>
    <col width="11" customWidth="1" min="5" max="5"/>
    <col width="13" customWidth="1" min="6" max="6"/>
    <col width="14" customWidth="1" min="7" max="7"/>
    <col width="13" customWidth="1" min="8" max="8"/>
    <col width="11" customWidth="1" min="9" max="9"/>
    <col width="11" customWidth="1" min="10" max="10"/>
    <col width="11" customWidth="1" min="11" max="11"/>
    <col width="12" customWidth="1" min="12" max="12"/>
    <col width="12" customWidth="1" min="13" max="13"/>
    <col width="3" customWidth="1" min="14" max="14"/>
  </cols>
  <sheetData>
    <row r="1">
      <c r="A1" s="130" t="n"/>
      <c r="B1" s="130" t="n"/>
      <c r="C1" s="130" t="n"/>
      <c r="D1" s="130" t="n"/>
      <c r="E1" s="130" t="n"/>
      <c r="F1" s="130" t="n"/>
      <c r="G1" s="130" t="n"/>
      <c r="H1" s="130" t="n"/>
      <c r="I1" s="130" t="n"/>
      <c r="J1" s="130" t="n"/>
      <c r="K1" s="130" t="n"/>
      <c r="L1" s="130" t="n"/>
      <c r="M1" s="130" t="n"/>
    </row>
    <row r="2">
      <c r="A2" s="130" t="n"/>
      <c r="B2" s="132" t="inlineStr">
        <is>
          <t>Tablero de cumplimiento · Capítulo IX CBJ</t>
        </is>
      </c>
      <c r="C2" s="130" t="n"/>
      <c r="D2" s="130" t="n"/>
      <c r="E2" s="130" t="n"/>
      <c r="F2" s="130" t="n"/>
      <c r="G2" s="130" t="n"/>
      <c r="H2" s="130" t="n"/>
      <c r="I2" s="130" t="n"/>
      <c r="J2" s="130" t="n"/>
      <c r="K2" s="130" t="n"/>
      <c r="L2" s="130" t="n"/>
      <c r="M2" s="130" t="n"/>
    </row>
    <row r="3">
      <c r="A3" s="130" t="n"/>
      <c r="B3" s="150" t="inlineStr">
        <is>
          <t>Circular Externa 100-000020 de 2026 (Supersociedades) · se actualiza solo con lo que califique en las matrices</t>
        </is>
      </c>
      <c r="C3" s="130" t="n"/>
      <c r="D3" s="130" t="n"/>
      <c r="E3" s="130" t="n"/>
      <c r="F3" s="130" t="n"/>
      <c r="G3" s="130" t="n"/>
      <c r="H3" s="130" t="n"/>
      <c r="I3" s="130" t="n"/>
      <c r="J3" s="130" t="n"/>
      <c r="K3" s="130" t="n"/>
      <c r="L3" s="130" t="n"/>
      <c r="M3" s="130" t="n"/>
    </row>
    <row r="4">
      <c r="A4" s="130" t="n"/>
      <c r="B4" s="151" t="inlineStr">
        <is>
          <t>Criterio Compliance · criteriocompliance.com   ·   Herramienta orientativa de autodiagnóstico. No reemplaza la asesoría de un profesional ni constituye una certificación de cumplimiento.</t>
        </is>
      </c>
    </row>
    <row r="5">
      <c r="A5" s="130" t="n"/>
      <c r="B5" s="152" t="inlineStr">
        <is>
          <t>DATOS DE LA EVALUACIÓN</t>
        </is>
      </c>
      <c r="C5" s="130" t="n"/>
      <c r="D5" s="130" t="n"/>
      <c r="E5" s="130" t="n"/>
      <c r="F5" s="130" t="n"/>
      <c r="G5" s="130" t="n"/>
      <c r="H5" s="130" t="n"/>
      <c r="I5" s="130" t="n"/>
      <c r="J5" s="130" t="n"/>
      <c r="K5" s="130" t="n"/>
      <c r="L5" s="130" t="n"/>
      <c r="M5" s="130" t="n"/>
    </row>
    <row r="6" ht="30" customHeight="1">
      <c r="A6" s="130" t="n"/>
      <c r="B6" s="153" t="inlineStr">
        <is>
          <t>Empresa</t>
        </is>
      </c>
      <c r="C6" s="154" t="inlineStr">
        <is>
          <t>AGROEXPORTADORA MODELO S.A.S. (empresa ficticia)</t>
        </is>
      </c>
      <c r="D6" s="140" t="n"/>
      <c r="E6" s="140" t="n"/>
      <c r="F6" s="130" t="n"/>
      <c r="G6" s="130" t="n"/>
      <c r="H6" s="130" t="n"/>
      <c r="I6" s="130" t="n"/>
      <c r="J6" s="130" t="n"/>
      <c r="K6" s="130" t="n"/>
      <c r="L6" s="130" t="n"/>
      <c r="M6" s="130" t="n"/>
    </row>
    <row r="7" ht="30" customHeight="1">
      <c r="A7" s="130" t="n"/>
      <c r="B7" s="153" t="inlineStr">
        <is>
          <t>NIT</t>
        </is>
      </c>
      <c r="C7" s="154" t="inlineStr">
        <is>
          <t>900.000.000-0 (ficticio)</t>
        </is>
      </c>
      <c r="D7" s="140" t="n"/>
      <c r="E7" s="140" t="n"/>
      <c r="F7" s="130" t="n"/>
      <c r="G7" s="130" t="n"/>
      <c r="H7" s="130" t="n"/>
      <c r="I7" s="130" t="n"/>
      <c r="J7" s="130" t="n"/>
      <c r="K7" s="130" t="n"/>
      <c r="L7" s="130" t="n"/>
      <c r="M7" s="130" t="n"/>
    </row>
    <row r="8" ht="30" customHeight="1">
      <c r="A8" s="130" t="n"/>
      <c r="B8" s="153" t="inlineStr">
        <is>
          <t>Régimen evaluado</t>
        </is>
      </c>
      <c r="C8" s="154" t="inlineStr">
        <is>
          <t>Sistema de Autocontrol y Gestión LA/FT/FP y C/ST</t>
        </is>
      </c>
      <c r="D8" s="140" t="n"/>
      <c r="E8" s="140" t="n"/>
      <c r="F8" s="130" t="n"/>
      <c r="G8" s="130" t="n"/>
      <c r="H8" s="130" t="n"/>
      <c r="I8" s="130" t="n"/>
      <c r="J8" s="130" t="n"/>
      <c r="K8" s="130" t="n"/>
      <c r="L8" s="130" t="n"/>
      <c r="M8" s="130" t="n"/>
    </row>
    <row r="9" ht="30" customHeight="1">
      <c r="A9" s="130" t="n"/>
      <c r="B9" s="153" t="inlineStr">
        <is>
          <t>Fecha de evaluación</t>
        </is>
      </c>
      <c r="C9" s="155" t="n">
        <v>46305</v>
      </c>
      <c r="D9" s="140" t="n"/>
      <c r="E9" s="140" t="n"/>
      <c r="F9" s="130" t="n"/>
      <c r="G9" s="130" t="n"/>
      <c r="H9" s="130" t="n"/>
      <c r="I9" s="130" t="n"/>
      <c r="J9" s="130" t="n"/>
      <c r="K9" s="130" t="n"/>
      <c r="L9" s="130" t="n"/>
      <c r="M9" s="130" t="n"/>
    </row>
    <row r="10" ht="30" customHeight="1">
      <c r="A10" s="130" t="n"/>
      <c r="B10" s="153" t="inlineStr">
        <is>
          <t>Evaluado por</t>
        </is>
      </c>
      <c r="C10" s="154" t="inlineStr">
        <is>
          <t>Ejemplo elaborado por Criterio Compliance</t>
        </is>
      </c>
      <c r="D10" s="140" t="n"/>
      <c r="E10" s="140" t="n"/>
      <c r="F10" s="130" t="n"/>
      <c r="G10" s="130" t="n"/>
      <c r="H10" s="130" t="n"/>
      <c r="I10" s="130" t="n"/>
      <c r="J10" s="130" t="n"/>
      <c r="K10" s="130" t="n"/>
      <c r="L10" s="130" t="n"/>
      <c r="M10" s="130" t="n"/>
    </row>
    <row r="11">
      <c r="A11" s="130" t="n"/>
      <c r="B11" s="130" t="n"/>
      <c r="C11" s="130" t="n"/>
      <c r="D11" s="130" t="n"/>
      <c r="E11" s="130" t="n"/>
      <c r="F11" s="152" t="inlineStr">
        <is>
          <t>INDICADORES</t>
        </is>
      </c>
      <c r="G11" s="130" t="n"/>
      <c r="H11" s="130" t="n"/>
      <c r="I11" s="130" t="n"/>
      <c r="J11" s="130" t="n"/>
      <c r="K11" s="130" t="n"/>
      <c r="L11" s="130" t="n"/>
      <c r="M11" s="130" t="n"/>
    </row>
    <row r="12" ht="20" customHeight="1">
      <c r="A12" s="130" t="n"/>
      <c r="B12" s="156" t="inlineStr">
        <is>
          <t>Cómo leerlo</t>
        </is>
      </c>
      <c r="C12" s="130" t="n"/>
      <c r="D12" s="130" t="n"/>
      <c r="E12" s="130" t="n"/>
      <c r="F12" s="157" t="inlineStr">
        <is>
          <t>CUMPLIMIENTO GLOBAL</t>
        </is>
      </c>
      <c r="G12" s="158" t="n"/>
      <c r="H12" s="157" t="inlineStr">
        <is>
          <t>AVANCE DE LA EVALUACIÓN</t>
        </is>
      </c>
      <c r="I12" s="158" t="n"/>
      <c r="J12" s="157" t="inlineStr">
        <is>
          <t>CRÍTICOS BAJO 50%</t>
        </is>
      </c>
      <c r="K12" s="158" t="n"/>
      <c r="L12" s="157" t="inlineStr">
        <is>
          <t>DÍAS PARA EL 31/05/2027</t>
        </is>
      </c>
      <c r="M12" s="158" t="n"/>
    </row>
    <row r="13" ht="22" customHeight="1">
      <c r="A13" s="130" t="n"/>
      <c r="B13" s="159" t="inlineStr">
        <is>
          <t>Elija el régimen en 'Régimen evaluado'. Las tarjetas y el semáforo cambian según ese régimen.</t>
        </is>
      </c>
      <c r="C13" s="130" t="n"/>
      <c r="D13" s="130" t="n"/>
      <c r="E13" s="130" t="n"/>
      <c r="F13" s="160">
        <f>IF($C$8=Escala!$F$6,F48,F35)</f>
        <v/>
      </c>
      <c r="G13" s="161" t="n"/>
      <c r="H13" s="162">
        <f>IF($C$8=Escala!$F$6,IF(D48=0,0,E48/D48),IF(D35=0,0,E35/D35))</f>
        <v/>
      </c>
      <c r="I13" s="161" t="n"/>
      <c r="J13" s="163">
        <f>IF($C$8=Escala!$F$6,COUNTIFS('Matriz RMM'!$H$7:$H$400,3,'Matriz RMM'!$J$7:$J$400,"&lt;"&amp;0.5),COUNTIFS('Matriz Sistema'!$H$7:$H$400,3,'Matriz Sistema'!$J$7:$J$400,"&lt;"&amp;0.5))</f>
        <v/>
      </c>
      <c r="K13" s="161" t="n"/>
      <c r="L13" s="164">
        <f>DATE(2027,5,31)-TODAY()</f>
        <v/>
      </c>
      <c r="M13" s="161" t="n"/>
    </row>
    <row r="14" ht="22" customHeight="1">
      <c r="A14" s="130" t="n"/>
      <c r="B14" s="130" t="n"/>
      <c r="C14" s="130" t="n"/>
      <c r="D14" s="130" t="n"/>
      <c r="E14" s="130" t="n"/>
      <c r="F14" s="165" t="n"/>
      <c r="G14" s="161" t="n"/>
      <c r="H14" s="165" t="n"/>
      <c r="I14" s="161" t="n"/>
      <c r="J14" s="165" t="n"/>
      <c r="K14" s="161" t="n"/>
      <c r="L14" s="165" t="n"/>
      <c r="M14" s="161" t="n"/>
    </row>
    <row r="15" ht="20" customHeight="1">
      <c r="A15" s="130" t="n"/>
      <c r="B15" s="130" t="n"/>
      <c r="C15" s="130" t="n"/>
      <c r="D15" s="130" t="n"/>
      <c r="E15" s="130" t="n"/>
      <c r="F15" s="166">
        <f>IF(NOT(ISNUMBER(F13)),"N/A",IF(F13&gt;=Escala!$C$14,"Adecuado",IF(F13&gt;=Escala!$C$15,"Aceptable",IF(F13&gt;=Escala!$C$16,"En desarrollo","Crítico"))))</f>
        <v/>
      </c>
      <c r="G15" s="167" t="n"/>
      <c r="H15" s="166">
        <f>IF($C$8=Escala!$F$6,E48&amp;" de "&amp;D48,E35&amp;" de "&amp;D35)&amp;" requisitos calificados"</f>
        <v/>
      </c>
      <c r="I15" s="167" t="n"/>
      <c r="J15" s="166">
        <f>"requisitos de peso 3"</f>
        <v/>
      </c>
      <c r="K15" s="167" t="n"/>
      <c r="L15" s="166">
        <f>"plazo de transición (num. 9.29)"</f>
        <v/>
      </c>
      <c r="M15" s="167" t="n"/>
    </row>
    <row r="16">
      <c r="A16" s="130" t="n"/>
      <c r="B16" s="130" t="n"/>
      <c r="C16" s="130" t="n"/>
      <c r="D16" s="130" t="n"/>
      <c r="E16" s="130" t="n"/>
      <c r="F16" s="168">
        <f>IF($C$8=Escala!$F$6,"Plan de acción RMM  ·  vencidas sin cerrar: "&amp;COUNTIFS('Matriz RMM'!$O$7:$O$400,"&lt;"&amp;TODAY(),'Matriz RMM'!$P$7:$P$400,"&lt;&gt;Cerrada")&amp;"  ·  con fecha posterior al 31/05/2027: "&amp;COUNTIF('Matriz RMM'!$O$7:$O$400,"&gt;"&amp;DATE(2027,5,31)),"Plan de acción  ·  vencidas sin cerrar: "&amp;COUNTIFS('Matriz Sistema'!$O$7:$O$400,"&lt;"&amp;TODAY(),'Matriz Sistema'!$P$7:$P$400,"&lt;&gt;Cerrada")&amp;"  ·  con fecha posterior al 31/05/2027: "&amp;COUNTIF('Matriz Sistema'!$O$7:$O$400,"&gt;"&amp;DATE(2027,5,31)))</f>
        <v/>
      </c>
      <c r="G16" s="130" t="n"/>
      <c r="H16" s="130" t="n"/>
      <c r="I16" s="130" t="n"/>
      <c r="J16" s="130" t="n"/>
      <c r="K16" s="130" t="n"/>
      <c r="L16" s="130" t="n"/>
      <c r="M16" s="130" t="n"/>
    </row>
    <row r="17">
      <c r="A17" s="130" t="n"/>
      <c r="B17" s="130" t="n"/>
      <c r="C17" s="130" t="n"/>
      <c r="D17" s="130" t="n"/>
      <c r="E17" s="130" t="n"/>
      <c r="F17" s="130" t="n"/>
      <c r="G17" s="130" t="n"/>
      <c r="H17" s="130" t="n"/>
      <c r="I17" s="130" t="n"/>
      <c r="J17" s="130" t="n"/>
      <c r="K17" s="130" t="n"/>
      <c r="L17" s="130" t="n"/>
      <c r="M17" s="130" t="n"/>
    </row>
    <row r="18">
      <c r="A18" s="130" t="n"/>
      <c r="B18" s="169" t="inlineStr">
        <is>
          <t>Sistema de Autocontrol y Gestión de Riesgos LA/FT/FP y C/ST · resultado por componente</t>
        </is>
      </c>
      <c r="C18" s="130" t="n"/>
      <c r="D18" s="130" t="n"/>
      <c r="E18" s="130" t="n"/>
      <c r="F18" s="130" t="n"/>
      <c r="G18" s="130" t="n"/>
      <c r="H18" s="130" t="n"/>
      <c r="I18" s="130" t="n"/>
      <c r="J18" s="130" t="n"/>
      <c r="K18" s="130" t="n"/>
      <c r="L18" s="130" t="n"/>
      <c r="M18" s="130" t="n"/>
    </row>
    <row r="19" ht="30" customHeight="1">
      <c r="A19" s="130" t="n"/>
      <c r="B19" s="136" t="inlineStr">
        <is>
          <t>Componente</t>
        </is>
      </c>
      <c r="C19" s="170" t="inlineStr">
        <is>
          <t>Requisitos</t>
        </is>
      </c>
      <c r="D19" s="170" t="inlineStr">
        <is>
          <t>Aplican</t>
        </is>
      </c>
      <c r="E19" s="170" t="inlineStr">
        <is>
          <t>Calificados</t>
        </is>
      </c>
      <c r="F19" s="170" t="inlineStr">
        <is>
          <t>% cumplimiento</t>
        </is>
      </c>
      <c r="G19" s="170" t="inlineStr">
        <is>
          <t>Nivel</t>
        </is>
      </c>
      <c r="H19" s="170" t="inlineStr">
        <is>
          <t>Cumple totalmente</t>
        </is>
      </c>
      <c r="I19" s="170" t="inlineStr">
        <is>
          <t>En gran medida</t>
        </is>
      </c>
      <c r="J19" s="170" t="inlineStr">
        <is>
          <t>Parcialmente</t>
        </is>
      </c>
      <c r="K19" s="170" t="inlineStr">
        <is>
          <t>Incipiente</t>
        </is>
      </c>
      <c r="L19" s="170" t="inlineStr">
        <is>
          <t>No cumple</t>
        </is>
      </c>
      <c r="M19" s="170" t="inlineStr">
        <is>
          <t>Sin calificar</t>
        </is>
      </c>
    </row>
    <row r="20" ht="22" customHeight="1">
      <c r="A20" s="130" t="n"/>
      <c r="B20" s="139" t="inlineStr">
        <is>
          <t>01. Diseño y aprobación del Sistema</t>
        </is>
      </c>
      <c r="C20" s="171">
        <f>COUNTIF('Matriz Sistema'!$B$7:$B$400,B20)</f>
        <v/>
      </c>
      <c r="D20" s="171">
        <f>C20-COUNTIFS('Matriz Sistema'!$B$7:$B$400,B20,'Matriz Sistema'!$I$7:$I$400,"No aplica")</f>
        <v/>
      </c>
      <c r="E20" s="171">
        <f>COUNTIFS('Matriz Sistema'!$B$7:$B$400,B20,'Matriz Sistema'!$I$7:$I$400,"?*")-COUNTIFS('Matriz Sistema'!$B$7:$B$400,B20,'Matriz Sistema'!$I$7:$I$400,"No aplica")</f>
        <v/>
      </c>
      <c r="F20" s="172">
        <f>IF(SUMIFS('Matriz Sistema'!$Q$7:$Q$400,'Matriz Sistema'!$B$7:$B$400,B20)=0,"N/A",SUMIFS('Matriz Sistema'!$R$7:$R$400,'Matriz Sistema'!$B$7:$B$400,B20)/SUMIFS('Matriz Sistema'!$Q$7:$Q$400,'Matriz Sistema'!$B$7:$B$400,B20))</f>
        <v/>
      </c>
      <c r="G20" s="171">
        <f>IF(NOT(ISNUMBER(F20)),"N/A",IF(F20&gt;=Escala!$C$14,"Adecuado",IF(F20&gt;=Escala!$C$15,"Aceptable",IF(F20&gt;=Escala!$C$16,"En desarrollo","Crítico"))))</f>
        <v/>
      </c>
      <c r="H20" s="173">
        <f>COUNTIFS('Matriz Sistema'!$B$7:$B$400,B20,'Matriz Sistema'!$I$7:$I$400,"Cumple totalmente")</f>
        <v/>
      </c>
      <c r="I20" s="173">
        <f>COUNTIFS('Matriz Sistema'!$B$7:$B$400,B20,'Matriz Sistema'!$I$7:$I$400,"Cumple en gran medida")</f>
        <v/>
      </c>
      <c r="J20" s="173">
        <f>COUNTIFS('Matriz Sistema'!$B$7:$B$400,B20,'Matriz Sistema'!$I$7:$I$400,"Cumple parcialmente")</f>
        <v/>
      </c>
      <c r="K20" s="173">
        <f>COUNTIFS('Matriz Sistema'!$B$7:$B$400,B20,'Matriz Sistema'!$I$7:$I$400,"Cumplimiento incipiente")</f>
        <v/>
      </c>
      <c r="L20" s="173">
        <f>COUNTIFS('Matriz Sistema'!$B$7:$B$400,B20,'Matriz Sistema'!$I$7:$I$400,"No cumple")</f>
        <v/>
      </c>
      <c r="M20" s="173">
        <f>D20-E20</f>
        <v/>
      </c>
    </row>
    <row r="21" ht="22" customHeight="1">
      <c r="A21" s="130" t="n"/>
      <c r="B21" s="174" t="inlineStr">
        <is>
          <t>02. Políticas mínimas</t>
        </is>
      </c>
      <c r="C21" s="175">
        <f>COUNTIF('Matriz Sistema'!$B$7:$B$400,B21)</f>
        <v/>
      </c>
      <c r="D21" s="175">
        <f>C21-COUNTIFS('Matriz Sistema'!$B$7:$B$400,B21,'Matriz Sistema'!$I$7:$I$400,"No aplica")</f>
        <v/>
      </c>
      <c r="E21" s="175">
        <f>COUNTIFS('Matriz Sistema'!$B$7:$B$400,B21,'Matriz Sistema'!$I$7:$I$400,"?*")-COUNTIFS('Matriz Sistema'!$B$7:$B$400,B21,'Matriz Sistema'!$I$7:$I$400,"No aplica")</f>
        <v/>
      </c>
      <c r="F21" s="176">
        <f>IF(SUMIFS('Matriz Sistema'!$Q$7:$Q$400,'Matriz Sistema'!$B$7:$B$400,B21)=0,"N/A",SUMIFS('Matriz Sistema'!$R$7:$R$400,'Matriz Sistema'!$B$7:$B$400,B21)/SUMIFS('Matriz Sistema'!$Q$7:$Q$400,'Matriz Sistema'!$B$7:$B$400,B21))</f>
        <v/>
      </c>
      <c r="G21" s="175">
        <f>IF(NOT(ISNUMBER(F21)),"N/A",IF(F21&gt;=Escala!$C$14,"Adecuado",IF(F21&gt;=Escala!$C$15,"Aceptable",IF(F21&gt;=Escala!$C$16,"En desarrollo","Crítico"))))</f>
        <v/>
      </c>
      <c r="H21" s="177">
        <f>COUNTIFS('Matriz Sistema'!$B$7:$B$400,B21,'Matriz Sistema'!$I$7:$I$400,"Cumple totalmente")</f>
        <v/>
      </c>
      <c r="I21" s="177">
        <f>COUNTIFS('Matriz Sistema'!$B$7:$B$400,B21,'Matriz Sistema'!$I$7:$I$400,"Cumple en gran medida")</f>
        <v/>
      </c>
      <c r="J21" s="177">
        <f>COUNTIFS('Matriz Sistema'!$B$7:$B$400,B21,'Matriz Sistema'!$I$7:$I$400,"Cumple parcialmente")</f>
        <v/>
      </c>
      <c r="K21" s="177">
        <f>COUNTIFS('Matriz Sistema'!$B$7:$B$400,B21,'Matriz Sistema'!$I$7:$I$400,"Cumplimiento incipiente")</f>
        <v/>
      </c>
      <c r="L21" s="177">
        <f>COUNTIFS('Matriz Sistema'!$B$7:$B$400,B21,'Matriz Sistema'!$I$7:$I$400,"No cumple")</f>
        <v/>
      </c>
      <c r="M21" s="177">
        <f>D21-E21</f>
        <v/>
      </c>
    </row>
    <row r="22" ht="22" customHeight="1">
      <c r="A22" s="130" t="n"/>
      <c r="B22" s="139" t="inlineStr">
        <is>
          <t>03. Funciones de la Junta Directiva / máximo órgano</t>
        </is>
      </c>
      <c r="C22" s="171">
        <f>COUNTIF('Matriz Sistema'!$B$7:$B$400,B22)</f>
        <v/>
      </c>
      <c r="D22" s="171">
        <f>C22-COUNTIFS('Matriz Sistema'!$B$7:$B$400,B22,'Matriz Sistema'!$I$7:$I$400,"No aplica")</f>
        <v/>
      </c>
      <c r="E22" s="171">
        <f>COUNTIFS('Matriz Sistema'!$B$7:$B$400,B22,'Matriz Sistema'!$I$7:$I$400,"?*")-COUNTIFS('Matriz Sistema'!$B$7:$B$400,B22,'Matriz Sistema'!$I$7:$I$400,"No aplica")</f>
        <v/>
      </c>
      <c r="F22" s="172">
        <f>IF(SUMIFS('Matriz Sistema'!$Q$7:$Q$400,'Matriz Sistema'!$B$7:$B$400,B22)=0,"N/A",SUMIFS('Matriz Sistema'!$R$7:$R$400,'Matriz Sistema'!$B$7:$B$400,B22)/SUMIFS('Matriz Sistema'!$Q$7:$Q$400,'Matriz Sistema'!$B$7:$B$400,B22))</f>
        <v/>
      </c>
      <c r="G22" s="171">
        <f>IF(NOT(ISNUMBER(F22)),"N/A",IF(F22&gt;=Escala!$C$14,"Adecuado",IF(F22&gt;=Escala!$C$15,"Aceptable",IF(F22&gt;=Escala!$C$16,"En desarrollo","Crítico"))))</f>
        <v/>
      </c>
      <c r="H22" s="173">
        <f>COUNTIFS('Matriz Sistema'!$B$7:$B$400,B22,'Matriz Sistema'!$I$7:$I$400,"Cumple totalmente")</f>
        <v/>
      </c>
      <c r="I22" s="173">
        <f>COUNTIFS('Matriz Sistema'!$B$7:$B$400,B22,'Matriz Sistema'!$I$7:$I$400,"Cumple en gran medida")</f>
        <v/>
      </c>
      <c r="J22" s="173">
        <f>COUNTIFS('Matriz Sistema'!$B$7:$B$400,B22,'Matriz Sistema'!$I$7:$I$400,"Cumple parcialmente")</f>
        <v/>
      </c>
      <c r="K22" s="173">
        <f>COUNTIFS('Matriz Sistema'!$B$7:$B$400,B22,'Matriz Sistema'!$I$7:$I$400,"Cumplimiento incipiente")</f>
        <v/>
      </c>
      <c r="L22" s="173">
        <f>COUNTIFS('Matriz Sistema'!$B$7:$B$400,B22,'Matriz Sistema'!$I$7:$I$400,"No cumple")</f>
        <v/>
      </c>
      <c r="M22" s="173">
        <f>D22-E22</f>
        <v/>
      </c>
    </row>
    <row r="23" ht="22" customHeight="1">
      <c r="A23" s="130" t="n"/>
      <c r="B23" s="174" t="inlineStr">
        <is>
          <t>04. Funciones del Representante Legal</t>
        </is>
      </c>
      <c r="C23" s="175">
        <f>COUNTIF('Matriz Sistema'!$B$7:$B$400,B23)</f>
        <v/>
      </c>
      <c r="D23" s="175">
        <f>C23-COUNTIFS('Matriz Sistema'!$B$7:$B$400,B23,'Matriz Sistema'!$I$7:$I$400,"No aplica")</f>
        <v/>
      </c>
      <c r="E23" s="175">
        <f>COUNTIFS('Matriz Sistema'!$B$7:$B$400,B23,'Matriz Sistema'!$I$7:$I$400,"?*")-COUNTIFS('Matriz Sistema'!$B$7:$B$400,B23,'Matriz Sistema'!$I$7:$I$400,"No aplica")</f>
        <v/>
      </c>
      <c r="F23" s="176">
        <f>IF(SUMIFS('Matriz Sistema'!$Q$7:$Q$400,'Matriz Sistema'!$B$7:$B$400,B23)=0,"N/A",SUMIFS('Matriz Sistema'!$R$7:$R$400,'Matriz Sistema'!$B$7:$B$400,B23)/SUMIFS('Matriz Sistema'!$Q$7:$Q$400,'Matriz Sistema'!$B$7:$B$400,B23))</f>
        <v/>
      </c>
      <c r="G23" s="175">
        <f>IF(NOT(ISNUMBER(F23)),"N/A",IF(F23&gt;=Escala!$C$14,"Adecuado",IF(F23&gt;=Escala!$C$15,"Aceptable",IF(F23&gt;=Escala!$C$16,"En desarrollo","Crítico"))))</f>
        <v/>
      </c>
      <c r="H23" s="177">
        <f>COUNTIFS('Matriz Sistema'!$B$7:$B$400,B23,'Matriz Sistema'!$I$7:$I$400,"Cumple totalmente")</f>
        <v/>
      </c>
      <c r="I23" s="177">
        <f>COUNTIFS('Matriz Sistema'!$B$7:$B$400,B23,'Matriz Sistema'!$I$7:$I$400,"Cumple en gran medida")</f>
        <v/>
      </c>
      <c r="J23" s="177">
        <f>COUNTIFS('Matriz Sistema'!$B$7:$B$400,B23,'Matriz Sistema'!$I$7:$I$400,"Cumple parcialmente")</f>
        <v/>
      </c>
      <c r="K23" s="177">
        <f>COUNTIFS('Matriz Sistema'!$B$7:$B$400,B23,'Matriz Sistema'!$I$7:$I$400,"Cumplimiento incipiente")</f>
        <v/>
      </c>
      <c r="L23" s="177">
        <f>COUNTIFS('Matriz Sistema'!$B$7:$B$400,B23,'Matriz Sistema'!$I$7:$I$400,"No cumple")</f>
        <v/>
      </c>
      <c r="M23" s="177">
        <f>D23-E23</f>
        <v/>
      </c>
    </row>
    <row r="24" ht="22" customHeight="1">
      <c r="A24" s="130" t="n"/>
      <c r="B24" s="139" t="inlineStr">
        <is>
          <t>05. Divulgación y capacitación</t>
        </is>
      </c>
      <c r="C24" s="171">
        <f>COUNTIF('Matriz Sistema'!$B$7:$B$400,B24)</f>
        <v/>
      </c>
      <c r="D24" s="171">
        <f>C24-COUNTIFS('Matriz Sistema'!$B$7:$B$400,B24,'Matriz Sistema'!$I$7:$I$400,"No aplica")</f>
        <v/>
      </c>
      <c r="E24" s="171">
        <f>COUNTIFS('Matriz Sistema'!$B$7:$B$400,B24,'Matriz Sistema'!$I$7:$I$400,"?*")-COUNTIFS('Matriz Sistema'!$B$7:$B$400,B24,'Matriz Sistema'!$I$7:$I$400,"No aplica")</f>
        <v/>
      </c>
      <c r="F24" s="172">
        <f>IF(SUMIFS('Matriz Sistema'!$Q$7:$Q$400,'Matriz Sistema'!$B$7:$B$400,B24)=0,"N/A",SUMIFS('Matriz Sistema'!$R$7:$R$400,'Matriz Sistema'!$B$7:$B$400,B24)/SUMIFS('Matriz Sistema'!$Q$7:$Q$400,'Matriz Sistema'!$B$7:$B$400,B24))</f>
        <v/>
      </c>
      <c r="G24" s="171">
        <f>IF(NOT(ISNUMBER(F24)),"N/A",IF(F24&gt;=Escala!$C$14,"Adecuado",IF(F24&gt;=Escala!$C$15,"Aceptable",IF(F24&gt;=Escala!$C$16,"En desarrollo","Crítico"))))</f>
        <v/>
      </c>
      <c r="H24" s="173">
        <f>COUNTIFS('Matriz Sistema'!$B$7:$B$400,B24,'Matriz Sistema'!$I$7:$I$400,"Cumple totalmente")</f>
        <v/>
      </c>
      <c r="I24" s="173">
        <f>COUNTIFS('Matriz Sistema'!$B$7:$B$400,B24,'Matriz Sistema'!$I$7:$I$400,"Cumple en gran medida")</f>
        <v/>
      </c>
      <c r="J24" s="173">
        <f>COUNTIFS('Matriz Sistema'!$B$7:$B$400,B24,'Matriz Sistema'!$I$7:$I$400,"Cumple parcialmente")</f>
        <v/>
      </c>
      <c r="K24" s="173">
        <f>COUNTIFS('Matriz Sistema'!$B$7:$B$400,B24,'Matriz Sistema'!$I$7:$I$400,"Cumplimiento incipiente")</f>
        <v/>
      </c>
      <c r="L24" s="173">
        <f>COUNTIFS('Matriz Sistema'!$B$7:$B$400,B24,'Matriz Sistema'!$I$7:$I$400,"No cumple")</f>
        <v/>
      </c>
      <c r="M24" s="173">
        <f>D24-E24</f>
        <v/>
      </c>
    </row>
    <row r="25" ht="22" customHeight="1">
      <c r="A25" s="130" t="n"/>
      <c r="B25" s="174" t="inlineStr">
        <is>
          <t>06. Oficial de Cumplimiento: estructura, requisitos e inhabilidades</t>
        </is>
      </c>
      <c r="C25" s="175">
        <f>COUNTIF('Matriz Sistema'!$B$7:$B$400,B25)</f>
        <v/>
      </c>
      <c r="D25" s="175">
        <f>C25-COUNTIFS('Matriz Sistema'!$B$7:$B$400,B25,'Matriz Sistema'!$I$7:$I$400,"No aplica")</f>
        <v/>
      </c>
      <c r="E25" s="175">
        <f>COUNTIFS('Matriz Sistema'!$B$7:$B$400,B25,'Matriz Sistema'!$I$7:$I$400,"?*")-COUNTIFS('Matriz Sistema'!$B$7:$B$400,B25,'Matriz Sistema'!$I$7:$I$400,"No aplica")</f>
        <v/>
      </c>
      <c r="F25" s="176">
        <f>IF(SUMIFS('Matriz Sistema'!$Q$7:$Q$400,'Matriz Sistema'!$B$7:$B$400,B25)=0,"N/A",SUMIFS('Matriz Sistema'!$R$7:$R$400,'Matriz Sistema'!$B$7:$B$400,B25)/SUMIFS('Matriz Sistema'!$Q$7:$Q$400,'Matriz Sistema'!$B$7:$B$400,B25))</f>
        <v/>
      </c>
      <c r="G25" s="175">
        <f>IF(NOT(ISNUMBER(F25)),"N/A",IF(F25&gt;=Escala!$C$14,"Adecuado",IF(F25&gt;=Escala!$C$15,"Aceptable",IF(F25&gt;=Escala!$C$16,"En desarrollo","Crítico"))))</f>
        <v/>
      </c>
      <c r="H25" s="177">
        <f>COUNTIFS('Matriz Sistema'!$B$7:$B$400,B25,'Matriz Sistema'!$I$7:$I$400,"Cumple totalmente")</f>
        <v/>
      </c>
      <c r="I25" s="177">
        <f>COUNTIFS('Matriz Sistema'!$B$7:$B$400,B25,'Matriz Sistema'!$I$7:$I$400,"Cumple en gran medida")</f>
        <v/>
      </c>
      <c r="J25" s="177">
        <f>COUNTIFS('Matriz Sistema'!$B$7:$B$400,B25,'Matriz Sistema'!$I$7:$I$400,"Cumple parcialmente")</f>
        <v/>
      </c>
      <c r="K25" s="177">
        <f>COUNTIFS('Matriz Sistema'!$B$7:$B$400,B25,'Matriz Sistema'!$I$7:$I$400,"Cumplimiento incipiente")</f>
        <v/>
      </c>
      <c r="L25" s="177">
        <f>COUNTIFS('Matriz Sistema'!$B$7:$B$400,B25,'Matriz Sistema'!$I$7:$I$400,"No cumple")</f>
        <v/>
      </c>
      <c r="M25" s="177">
        <f>D25-E25</f>
        <v/>
      </c>
    </row>
    <row r="26" ht="22" customHeight="1">
      <c r="A26" s="130" t="n"/>
      <c r="B26" s="139" t="inlineStr">
        <is>
          <t>07. Funciones del Oficial de Cumplimiento</t>
        </is>
      </c>
      <c r="C26" s="171">
        <f>COUNTIF('Matriz Sistema'!$B$7:$B$400,B26)</f>
        <v/>
      </c>
      <c r="D26" s="171">
        <f>C26-COUNTIFS('Matriz Sistema'!$B$7:$B$400,B26,'Matriz Sistema'!$I$7:$I$400,"No aplica")</f>
        <v/>
      </c>
      <c r="E26" s="171">
        <f>COUNTIFS('Matriz Sistema'!$B$7:$B$400,B26,'Matriz Sistema'!$I$7:$I$400,"?*")-COUNTIFS('Matriz Sistema'!$B$7:$B$400,B26,'Matriz Sistema'!$I$7:$I$400,"No aplica")</f>
        <v/>
      </c>
      <c r="F26" s="172">
        <f>IF(SUMIFS('Matriz Sistema'!$Q$7:$Q$400,'Matriz Sistema'!$B$7:$B$400,B26)=0,"N/A",SUMIFS('Matriz Sistema'!$R$7:$R$400,'Matriz Sistema'!$B$7:$B$400,B26)/SUMIFS('Matriz Sistema'!$Q$7:$Q$400,'Matriz Sistema'!$B$7:$B$400,B26))</f>
        <v/>
      </c>
      <c r="G26" s="171">
        <f>IF(NOT(ISNUMBER(F26)),"N/A",IF(F26&gt;=Escala!$C$14,"Adecuado",IF(F26&gt;=Escala!$C$15,"Aceptable",IF(F26&gt;=Escala!$C$16,"En desarrollo","Crítico"))))</f>
        <v/>
      </c>
      <c r="H26" s="173">
        <f>COUNTIFS('Matriz Sistema'!$B$7:$B$400,B26,'Matriz Sistema'!$I$7:$I$400,"Cumple totalmente")</f>
        <v/>
      </c>
      <c r="I26" s="173">
        <f>COUNTIFS('Matriz Sistema'!$B$7:$B$400,B26,'Matriz Sistema'!$I$7:$I$400,"Cumple en gran medida")</f>
        <v/>
      </c>
      <c r="J26" s="173">
        <f>COUNTIFS('Matriz Sistema'!$B$7:$B$400,B26,'Matriz Sistema'!$I$7:$I$400,"Cumple parcialmente")</f>
        <v/>
      </c>
      <c r="K26" s="173">
        <f>COUNTIFS('Matriz Sistema'!$B$7:$B$400,B26,'Matriz Sistema'!$I$7:$I$400,"Cumplimiento incipiente")</f>
        <v/>
      </c>
      <c r="L26" s="173">
        <f>COUNTIFS('Matriz Sistema'!$B$7:$B$400,B26,'Matriz Sistema'!$I$7:$I$400,"No cumple")</f>
        <v/>
      </c>
      <c r="M26" s="173">
        <f>D26-E26</f>
        <v/>
      </c>
    </row>
    <row r="27" ht="22" customHeight="1">
      <c r="A27" s="130" t="n"/>
      <c r="B27" s="174" t="inlineStr">
        <is>
          <t>08. Revisoría fiscal y auditorías</t>
        </is>
      </c>
      <c r="C27" s="175">
        <f>COUNTIF('Matriz Sistema'!$B$7:$B$400,B27)</f>
        <v/>
      </c>
      <c r="D27" s="175">
        <f>C27-COUNTIFS('Matriz Sistema'!$B$7:$B$400,B27,'Matriz Sistema'!$I$7:$I$400,"No aplica")</f>
        <v/>
      </c>
      <c r="E27" s="175">
        <f>COUNTIFS('Matriz Sistema'!$B$7:$B$400,B27,'Matriz Sistema'!$I$7:$I$400,"?*")-COUNTIFS('Matriz Sistema'!$B$7:$B$400,B27,'Matriz Sistema'!$I$7:$I$400,"No aplica")</f>
        <v/>
      </c>
      <c r="F27" s="176">
        <f>IF(SUMIFS('Matriz Sistema'!$Q$7:$Q$400,'Matriz Sistema'!$B$7:$B$400,B27)=0,"N/A",SUMIFS('Matriz Sistema'!$R$7:$R$400,'Matriz Sistema'!$B$7:$B$400,B27)/SUMIFS('Matriz Sistema'!$Q$7:$Q$400,'Matriz Sistema'!$B$7:$B$400,B27))</f>
        <v/>
      </c>
      <c r="G27" s="175">
        <f>IF(NOT(ISNUMBER(F27)),"N/A",IF(F27&gt;=Escala!$C$14,"Adecuado",IF(F27&gt;=Escala!$C$15,"Aceptable",IF(F27&gt;=Escala!$C$16,"En desarrollo","Crítico"))))</f>
        <v/>
      </c>
      <c r="H27" s="177">
        <f>COUNTIFS('Matriz Sistema'!$B$7:$B$400,B27,'Matriz Sistema'!$I$7:$I$400,"Cumple totalmente")</f>
        <v/>
      </c>
      <c r="I27" s="177">
        <f>COUNTIFS('Matriz Sistema'!$B$7:$B$400,B27,'Matriz Sistema'!$I$7:$I$400,"Cumple en gran medida")</f>
        <v/>
      </c>
      <c r="J27" s="177">
        <f>COUNTIFS('Matriz Sistema'!$B$7:$B$400,B27,'Matriz Sistema'!$I$7:$I$400,"Cumple parcialmente")</f>
        <v/>
      </c>
      <c r="K27" s="177">
        <f>COUNTIFS('Matriz Sistema'!$B$7:$B$400,B27,'Matriz Sistema'!$I$7:$I$400,"Cumplimiento incipiente")</f>
        <v/>
      </c>
      <c r="L27" s="177">
        <f>COUNTIFS('Matriz Sistema'!$B$7:$B$400,B27,'Matriz Sistema'!$I$7:$I$400,"No cumple")</f>
        <v/>
      </c>
      <c r="M27" s="177">
        <f>D27-E27</f>
        <v/>
      </c>
    </row>
    <row r="28" ht="22" customHeight="1">
      <c r="A28" s="130" t="n"/>
      <c r="B28" s="139" t="inlineStr">
        <is>
          <t>09. Etapas de gestión del riesgo</t>
        </is>
      </c>
      <c r="C28" s="171">
        <f>COUNTIF('Matriz Sistema'!$B$7:$B$400,B28)</f>
        <v/>
      </c>
      <c r="D28" s="171">
        <f>C28-COUNTIFS('Matriz Sistema'!$B$7:$B$400,B28,'Matriz Sistema'!$I$7:$I$400,"No aplica")</f>
        <v/>
      </c>
      <c r="E28" s="171">
        <f>COUNTIFS('Matriz Sistema'!$B$7:$B$400,B28,'Matriz Sistema'!$I$7:$I$400,"?*")-COUNTIFS('Matriz Sistema'!$B$7:$B$400,B28,'Matriz Sistema'!$I$7:$I$400,"No aplica")</f>
        <v/>
      </c>
      <c r="F28" s="172">
        <f>IF(SUMIFS('Matriz Sistema'!$Q$7:$Q$400,'Matriz Sistema'!$B$7:$B$400,B28)=0,"N/A",SUMIFS('Matriz Sistema'!$R$7:$R$400,'Matriz Sistema'!$B$7:$B$400,B28)/SUMIFS('Matriz Sistema'!$Q$7:$Q$400,'Matriz Sistema'!$B$7:$B$400,B28))</f>
        <v/>
      </c>
      <c r="G28" s="171">
        <f>IF(NOT(ISNUMBER(F28)),"N/A",IF(F28&gt;=Escala!$C$14,"Adecuado",IF(F28&gt;=Escala!$C$15,"Aceptable",IF(F28&gt;=Escala!$C$16,"En desarrollo","Crítico"))))</f>
        <v/>
      </c>
      <c r="H28" s="173">
        <f>COUNTIFS('Matriz Sistema'!$B$7:$B$400,B28,'Matriz Sistema'!$I$7:$I$400,"Cumple totalmente")</f>
        <v/>
      </c>
      <c r="I28" s="173">
        <f>COUNTIFS('Matriz Sistema'!$B$7:$B$400,B28,'Matriz Sistema'!$I$7:$I$400,"Cumple en gran medida")</f>
        <v/>
      </c>
      <c r="J28" s="173">
        <f>COUNTIFS('Matriz Sistema'!$B$7:$B$400,B28,'Matriz Sistema'!$I$7:$I$400,"Cumple parcialmente")</f>
        <v/>
      </c>
      <c r="K28" s="173">
        <f>COUNTIFS('Matriz Sistema'!$B$7:$B$400,B28,'Matriz Sistema'!$I$7:$I$400,"Cumplimiento incipiente")</f>
        <v/>
      </c>
      <c r="L28" s="173">
        <f>COUNTIFS('Matriz Sistema'!$B$7:$B$400,B28,'Matriz Sistema'!$I$7:$I$400,"No cumple")</f>
        <v/>
      </c>
      <c r="M28" s="173">
        <f>D28-E28</f>
        <v/>
      </c>
    </row>
    <row r="29" ht="22" customHeight="1">
      <c r="A29" s="130" t="n"/>
      <c r="B29" s="174" t="inlineStr">
        <is>
          <t>10. Debida diligencia</t>
        </is>
      </c>
      <c r="C29" s="175">
        <f>COUNTIF('Matriz Sistema'!$B$7:$B$400,B29)</f>
        <v/>
      </c>
      <c r="D29" s="175">
        <f>C29-COUNTIFS('Matriz Sistema'!$B$7:$B$400,B29,'Matriz Sistema'!$I$7:$I$400,"No aplica")</f>
        <v/>
      </c>
      <c r="E29" s="175">
        <f>COUNTIFS('Matriz Sistema'!$B$7:$B$400,B29,'Matriz Sistema'!$I$7:$I$400,"?*")-COUNTIFS('Matriz Sistema'!$B$7:$B$400,B29,'Matriz Sistema'!$I$7:$I$400,"No aplica")</f>
        <v/>
      </c>
      <c r="F29" s="176">
        <f>IF(SUMIFS('Matriz Sistema'!$Q$7:$Q$400,'Matriz Sistema'!$B$7:$B$400,B29)=0,"N/A",SUMIFS('Matriz Sistema'!$R$7:$R$400,'Matriz Sistema'!$B$7:$B$400,B29)/SUMIFS('Matriz Sistema'!$Q$7:$Q$400,'Matriz Sistema'!$B$7:$B$400,B29))</f>
        <v/>
      </c>
      <c r="G29" s="175">
        <f>IF(NOT(ISNUMBER(F29)),"N/A",IF(F29&gt;=Escala!$C$14,"Adecuado",IF(F29&gt;=Escala!$C$15,"Aceptable",IF(F29&gt;=Escala!$C$16,"En desarrollo","Crítico"))))</f>
        <v/>
      </c>
      <c r="H29" s="177">
        <f>COUNTIFS('Matriz Sistema'!$B$7:$B$400,B29,'Matriz Sistema'!$I$7:$I$400,"Cumple totalmente")</f>
        <v/>
      </c>
      <c r="I29" s="177">
        <f>COUNTIFS('Matriz Sistema'!$B$7:$B$400,B29,'Matriz Sistema'!$I$7:$I$400,"Cumple en gran medida")</f>
        <v/>
      </c>
      <c r="J29" s="177">
        <f>COUNTIFS('Matriz Sistema'!$B$7:$B$400,B29,'Matriz Sistema'!$I$7:$I$400,"Cumple parcialmente")</f>
        <v/>
      </c>
      <c r="K29" s="177">
        <f>COUNTIFS('Matriz Sistema'!$B$7:$B$400,B29,'Matriz Sistema'!$I$7:$I$400,"Cumplimiento incipiente")</f>
        <v/>
      </c>
      <c r="L29" s="177">
        <f>COUNTIFS('Matriz Sistema'!$B$7:$B$400,B29,'Matriz Sistema'!$I$7:$I$400,"No cumple")</f>
        <v/>
      </c>
      <c r="M29" s="177">
        <f>D29-E29</f>
        <v/>
      </c>
    </row>
    <row r="30" ht="22" customHeight="1">
      <c r="A30" s="130" t="n"/>
      <c r="B30" s="139" t="inlineStr">
        <is>
          <t>11. Debida diligencia intensificada</t>
        </is>
      </c>
      <c r="C30" s="171">
        <f>COUNTIF('Matriz Sistema'!$B$7:$B$400,B30)</f>
        <v/>
      </c>
      <c r="D30" s="171">
        <f>C30-COUNTIFS('Matriz Sistema'!$B$7:$B$400,B30,'Matriz Sistema'!$I$7:$I$400,"No aplica")</f>
        <v/>
      </c>
      <c r="E30" s="171">
        <f>COUNTIFS('Matriz Sistema'!$B$7:$B$400,B30,'Matriz Sistema'!$I$7:$I$400,"?*")-COUNTIFS('Matriz Sistema'!$B$7:$B$400,B30,'Matriz Sistema'!$I$7:$I$400,"No aplica")</f>
        <v/>
      </c>
      <c r="F30" s="172">
        <f>IF(SUMIFS('Matriz Sistema'!$Q$7:$Q$400,'Matriz Sistema'!$B$7:$B$400,B30)=0,"N/A",SUMIFS('Matriz Sistema'!$R$7:$R$400,'Matriz Sistema'!$B$7:$B$400,B30)/SUMIFS('Matriz Sistema'!$Q$7:$Q$400,'Matriz Sistema'!$B$7:$B$400,B30))</f>
        <v/>
      </c>
      <c r="G30" s="171">
        <f>IF(NOT(ISNUMBER(F30)),"N/A",IF(F30&gt;=Escala!$C$14,"Adecuado",IF(F30&gt;=Escala!$C$15,"Aceptable",IF(F30&gt;=Escala!$C$16,"En desarrollo","Crítico"))))</f>
        <v/>
      </c>
      <c r="H30" s="173">
        <f>COUNTIFS('Matriz Sistema'!$B$7:$B$400,B30,'Matriz Sistema'!$I$7:$I$400,"Cumple totalmente")</f>
        <v/>
      </c>
      <c r="I30" s="173">
        <f>COUNTIFS('Matriz Sistema'!$B$7:$B$400,B30,'Matriz Sistema'!$I$7:$I$400,"Cumple en gran medida")</f>
        <v/>
      </c>
      <c r="J30" s="173">
        <f>COUNTIFS('Matriz Sistema'!$B$7:$B$400,B30,'Matriz Sistema'!$I$7:$I$400,"Cumple parcialmente")</f>
        <v/>
      </c>
      <c r="K30" s="173">
        <f>COUNTIFS('Matriz Sistema'!$B$7:$B$400,B30,'Matriz Sistema'!$I$7:$I$400,"Cumplimiento incipiente")</f>
        <v/>
      </c>
      <c r="L30" s="173">
        <f>COUNTIFS('Matriz Sistema'!$B$7:$B$400,B30,'Matriz Sistema'!$I$7:$I$400,"No cumple")</f>
        <v/>
      </c>
      <c r="M30" s="173">
        <f>D30-E30</f>
        <v/>
      </c>
    </row>
    <row r="31" ht="22" customHeight="1">
      <c r="A31" s="130" t="n"/>
      <c r="B31" s="174" t="inlineStr">
        <is>
          <t>12. Canal de denuncias y reporte de soborno transnacional</t>
        </is>
      </c>
      <c r="C31" s="175">
        <f>COUNTIF('Matriz Sistema'!$B$7:$B$400,B31)</f>
        <v/>
      </c>
      <c r="D31" s="175">
        <f>C31-COUNTIFS('Matriz Sistema'!$B$7:$B$400,B31,'Matriz Sistema'!$I$7:$I$400,"No aplica")</f>
        <v/>
      </c>
      <c r="E31" s="175">
        <f>COUNTIFS('Matriz Sistema'!$B$7:$B$400,B31,'Matriz Sistema'!$I$7:$I$400,"?*")-COUNTIFS('Matriz Sistema'!$B$7:$B$400,B31,'Matriz Sistema'!$I$7:$I$400,"No aplica")</f>
        <v/>
      </c>
      <c r="F31" s="176">
        <f>IF(SUMIFS('Matriz Sistema'!$Q$7:$Q$400,'Matriz Sistema'!$B$7:$B$400,B31)=0,"N/A",SUMIFS('Matriz Sistema'!$R$7:$R$400,'Matriz Sistema'!$B$7:$B$400,B31)/SUMIFS('Matriz Sistema'!$Q$7:$Q$400,'Matriz Sistema'!$B$7:$B$400,B31))</f>
        <v/>
      </c>
      <c r="G31" s="175">
        <f>IF(NOT(ISNUMBER(F31)),"N/A",IF(F31&gt;=Escala!$C$14,"Adecuado",IF(F31&gt;=Escala!$C$15,"Aceptable",IF(F31&gt;=Escala!$C$16,"En desarrollo","Crítico"))))</f>
        <v/>
      </c>
      <c r="H31" s="177">
        <f>COUNTIFS('Matriz Sistema'!$B$7:$B$400,B31,'Matriz Sistema'!$I$7:$I$400,"Cumple totalmente")</f>
        <v/>
      </c>
      <c r="I31" s="177">
        <f>COUNTIFS('Matriz Sistema'!$B$7:$B$400,B31,'Matriz Sistema'!$I$7:$I$400,"Cumple en gran medida")</f>
        <v/>
      </c>
      <c r="J31" s="177">
        <f>COUNTIFS('Matriz Sistema'!$B$7:$B$400,B31,'Matriz Sistema'!$I$7:$I$400,"Cumple parcialmente")</f>
        <v/>
      </c>
      <c r="K31" s="177">
        <f>COUNTIFS('Matriz Sistema'!$B$7:$B$400,B31,'Matriz Sistema'!$I$7:$I$400,"Cumplimiento incipiente")</f>
        <v/>
      </c>
      <c r="L31" s="177">
        <f>COUNTIFS('Matriz Sistema'!$B$7:$B$400,B31,'Matriz Sistema'!$I$7:$I$400,"No cumple")</f>
        <v/>
      </c>
      <c r="M31" s="177">
        <f>D31-E31</f>
        <v/>
      </c>
    </row>
    <row r="32" ht="22" customHeight="1">
      <c r="A32" s="130" t="n"/>
      <c r="B32" s="139" t="inlineStr">
        <is>
          <t>13. ROS, AROS y señales de alerta</t>
        </is>
      </c>
      <c r="C32" s="171">
        <f>COUNTIF('Matriz Sistema'!$B$7:$B$400,B32)</f>
        <v/>
      </c>
      <c r="D32" s="171">
        <f>C32-COUNTIFS('Matriz Sistema'!$B$7:$B$400,B32,'Matriz Sistema'!$I$7:$I$400,"No aplica")</f>
        <v/>
      </c>
      <c r="E32" s="171">
        <f>COUNTIFS('Matriz Sistema'!$B$7:$B$400,B32,'Matriz Sistema'!$I$7:$I$400,"?*")-COUNTIFS('Matriz Sistema'!$B$7:$B$400,B32,'Matriz Sistema'!$I$7:$I$400,"No aplica")</f>
        <v/>
      </c>
      <c r="F32" s="172">
        <f>IF(SUMIFS('Matriz Sistema'!$Q$7:$Q$400,'Matriz Sistema'!$B$7:$B$400,B32)=0,"N/A",SUMIFS('Matriz Sistema'!$R$7:$R$400,'Matriz Sistema'!$B$7:$B$400,B32)/SUMIFS('Matriz Sistema'!$Q$7:$Q$400,'Matriz Sistema'!$B$7:$B$400,B32))</f>
        <v/>
      </c>
      <c r="G32" s="171">
        <f>IF(NOT(ISNUMBER(F32)),"N/A",IF(F32&gt;=Escala!$C$14,"Adecuado",IF(F32&gt;=Escala!$C$15,"Aceptable",IF(F32&gt;=Escala!$C$16,"En desarrollo","Crítico"))))</f>
        <v/>
      </c>
      <c r="H32" s="173">
        <f>COUNTIFS('Matriz Sistema'!$B$7:$B$400,B32,'Matriz Sistema'!$I$7:$I$400,"Cumple totalmente")</f>
        <v/>
      </c>
      <c r="I32" s="173">
        <f>COUNTIFS('Matriz Sistema'!$B$7:$B$400,B32,'Matriz Sistema'!$I$7:$I$400,"Cumple en gran medida")</f>
        <v/>
      </c>
      <c r="J32" s="173">
        <f>COUNTIFS('Matriz Sistema'!$B$7:$B$400,B32,'Matriz Sistema'!$I$7:$I$400,"Cumple parcialmente")</f>
        <v/>
      </c>
      <c r="K32" s="173">
        <f>COUNTIFS('Matriz Sistema'!$B$7:$B$400,B32,'Matriz Sistema'!$I$7:$I$400,"Cumplimiento incipiente")</f>
        <v/>
      </c>
      <c r="L32" s="173">
        <f>COUNTIFS('Matriz Sistema'!$B$7:$B$400,B32,'Matriz Sistema'!$I$7:$I$400,"No cumple")</f>
        <v/>
      </c>
      <c r="M32" s="173">
        <f>D32-E32</f>
        <v/>
      </c>
    </row>
    <row r="33" ht="22" customHeight="1">
      <c r="A33" s="130" t="n"/>
      <c r="B33" s="174" t="inlineStr">
        <is>
          <t>14. Conservación de la información</t>
        </is>
      </c>
      <c r="C33" s="175">
        <f>COUNTIF('Matriz Sistema'!$B$7:$B$400,B33)</f>
        <v/>
      </c>
      <c r="D33" s="175">
        <f>C33-COUNTIFS('Matriz Sistema'!$B$7:$B$400,B33,'Matriz Sistema'!$I$7:$I$400,"No aplica")</f>
        <v/>
      </c>
      <c r="E33" s="175">
        <f>COUNTIFS('Matriz Sistema'!$B$7:$B$400,B33,'Matriz Sistema'!$I$7:$I$400,"?*")-COUNTIFS('Matriz Sistema'!$B$7:$B$400,B33,'Matriz Sistema'!$I$7:$I$400,"No aplica")</f>
        <v/>
      </c>
      <c r="F33" s="176">
        <f>IF(SUMIFS('Matriz Sistema'!$Q$7:$Q$400,'Matriz Sistema'!$B$7:$B$400,B33)=0,"N/A",SUMIFS('Matriz Sistema'!$R$7:$R$400,'Matriz Sistema'!$B$7:$B$400,B33)/SUMIFS('Matriz Sistema'!$Q$7:$Q$400,'Matriz Sistema'!$B$7:$B$400,B33))</f>
        <v/>
      </c>
      <c r="G33" s="175">
        <f>IF(NOT(ISNUMBER(F33)),"N/A",IF(F33&gt;=Escala!$C$14,"Adecuado",IF(F33&gt;=Escala!$C$15,"Aceptable",IF(F33&gt;=Escala!$C$16,"En desarrollo","Crítico"))))</f>
        <v/>
      </c>
      <c r="H33" s="177">
        <f>COUNTIFS('Matriz Sistema'!$B$7:$B$400,B33,'Matriz Sistema'!$I$7:$I$400,"Cumple totalmente")</f>
        <v/>
      </c>
      <c r="I33" s="177">
        <f>COUNTIFS('Matriz Sistema'!$B$7:$B$400,B33,'Matriz Sistema'!$I$7:$I$400,"Cumple en gran medida")</f>
        <v/>
      </c>
      <c r="J33" s="177">
        <f>COUNTIFS('Matriz Sistema'!$B$7:$B$400,B33,'Matriz Sistema'!$I$7:$I$400,"Cumple parcialmente")</f>
        <v/>
      </c>
      <c r="K33" s="177">
        <f>COUNTIFS('Matriz Sistema'!$B$7:$B$400,B33,'Matriz Sistema'!$I$7:$I$400,"Cumplimiento incipiente")</f>
        <v/>
      </c>
      <c r="L33" s="177">
        <f>COUNTIFS('Matriz Sistema'!$B$7:$B$400,B33,'Matriz Sistema'!$I$7:$I$400,"No cumple")</f>
        <v/>
      </c>
      <c r="M33" s="177">
        <f>D33-E33</f>
        <v/>
      </c>
    </row>
    <row r="34" ht="22" customHeight="1">
      <c r="A34" s="130" t="n"/>
      <c r="B34" s="139" t="inlineStr">
        <is>
          <t>15. Transición y permanencia</t>
        </is>
      </c>
      <c r="C34" s="171">
        <f>COUNTIF('Matriz Sistema'!$B$7:$B$400,B34)</f>
        <v/>
      </c>
      <c r="D34" s="171">
        <f>C34-COUNTIFS('Matriz Sistema'!$B$7:$B$400,B34,'Matriz Sistema'!$I$7:$I$400,"No aplica")</f>
        <v/>
      </c>
      <c r="E34" s="171">
        <f>COUNTIFS('Matriz Sistema'!$B$7:$B$400,B34,'Matriz Sistema'!$I$7:$I$400,"?*")-COUNTIFS('Matriz Sistema'!$B$7:$B$400,B34,'Matriz Sistema'!$I$7:$I$400,"No aplica")</f>
        <v/>
      </c>
      <c r="F34" s="172">
        <f>IF(SUMIFS('Matriz Sistema'!$Q$7:$Q$400,'Matriz Sistema'!$B$7:$B$400,B34)=0,"N/A",SUMIFS('Matriz Sistema'!$R$7:$R$400,'Matriz Sistema'!$B$7:$B$400,B34)/SUMIFS('Matriz Sistema'!$Q$7:$Q$400,'Matriz Sistema'!$B$7:$B$400,B34))</f>
        <v/>
      </c>
      <c r="G34" s="171">
        <f>IF(NOT(ISNUMBER(F34)),"N/A",IF(F34&gt;=Escala!$C$14,"Adecuado",IF(F34&gt;=Escala!$C$15,"Aceptable",IF(F34&gt;=Escala!$C$16,"En desarrollo","Crítico"))))</f>
        <v/>
      </c>
      <c r="H34" s="173">
        <f>COUNTIFS('Matriz Sistema'!$B$7:$B$400,B34,'Matriz Sistema'!$I$7:$I$400,"Cumple totalmente")</f>
        <v/>
      </c>
      <c r="I34" s="173">
        <f>COUNTIFS('Matriz Sistema'!$B$7:$B$400,B34,'Matriz Sistema'!$I$7:$I$400,"Cumple en gran medida")</f>
        <v/>
      </c>
      <c r="J34" s="173">
        <f>COUNTIFS('Matriz Sistema'!$B$7:$B$400,B34,'Matriz Sistema'!$I$7:$I$400,"Cumple parcialmente")</f>
        <v/>
      </c>
      <c r="K34" s="173">
        <f>COUNTIFS('Matriz Sistema'!$B$7:$B$400,B34,'Matriz Sistema'!$I$7:$I$400,"Cumplimiento incipiente")</f>
        <v/>
      </c>
      <c r="L34" s="173">
        <f>COUNTIFS('Matriz Sistema'!$B$7:$B$400,B34,'Matriz Sistema'!$I$7:$I$400,"No cumple")</f>
        <v/>
      </c>
      <c r="M34" s="173">
        <f>D34-E34</f>
        <v/>
      </c>
    </row>
    <row r="35" ht="24" customHeight="1">
      <c r="A35" s="130" t="n"/>
      <c r="B35" s="178" t="inlineStr">
        <is>
          <t>TOTAL</t>
        </is>
      </c>
      <c r="C35" s="179">
        <f>SUM(C20:C34)</f>
        <v/>
      </c>
      <c r="D35" s="179">
        <f>SUM(D20:D34)</f>
        <v/>
      </c>
      <c r="E35" s="179">
        <f>SUM(E20:E34)</f>
        <v/>
      </c>
      <c r="F35" s="180">
        <f>IF(SUM('Matriz Sistema'!$Q$7:$Q$400)=0,"N/A",SUM('Matriz Sistema'!$R$7:$R$400)/SUM('Matriz Sistema'!$Q$7:$Q$400))</f>
        <v/>
      </c>
      <c r="G35" s="179">
        <f>IF(NOT(ISNUMBER(F35)),"N/A",IF(F35&gt;=Escala!$C$14,"Adecuado",IF(F35&gt;=Escala!$C$15,"Aceptable",IF(F35&gt;=Escala!$C$16,"En desarrollo","Crítico"))))</f>
        <v/>
      </c>
      <c r="H35" s="179">
        <f>SUM(H20:H34)</f>
        <v/>
      </c>
      <c r="I35" s="179">
        <f>SUM(I20:I34)</f>
        <v/>
      </c>
      <c r="J35" s="179">
        <f>SUM(J20:J34)</f>
        <v/>
      </c>
      <c r="K35" s="179">
        <f>SUM(K20:K34)</f>
        <v/>
      </c>
      <c r="L35" s="179">
        <f>SUM(L20:L34)</f>
        <v/>
      </c>
      <c r="M35" s="179">
        <f>SUM(M20:M34)</f>
        <v/>
      </c>
    </row>
    <row r="36">
      <c r="A36" s="130" t="n"/>
      <c r="B36" s="181" t="inlineStr">
        <is>
          <t>El % de cada componente es el promedio ponderado por peso de los requisitos que aplican. Sin calificar = 0%. 'No aplica' se excluye.</t>
        </is>
      </c>
      <c r="C36" s="130" t="n"/>
      <c r="D36" s="130" t="n"/>
      <c r="E36" s="130" t="n"/>
      <c r="F36" s="130" t="n"/>
      <c r="G36" s="130" t="n"/>
      <c r="H36" s="130" t="n"/>
      <c r="I36" s="130" t="n"/>
      <c r="J36" s="130" t="n"/>
      <c r="K36" s="130" t="n"/>
      <c r="L36" s="130" t="n"/>
      <c r="M36" s="130" t="n"/>
    </row>
    <row r="37">
      <c r="A37" s="130" t="n"/>
      <c r="B37" s="130" t="n"/>
      <c r="C37" s="130" t="n"/>
      <c r="D37" s="130" t="n"/>
      <c r="E37" s="130" t="n"/>
      <c r="F37" s="130" t="n"/>
      <c r="G37" s="130" t="n"/>
      <c r="H37" s="130" t="n"/>
      <c r="I37" s="130" t="n"/>
      <c r="J37" s="130" t="n"/>
      <c r="K37" s="130" t="n"/>
      <c r="L37" s="130" t="n"/>
      <c r="M37" s="130" t="n"/>
    </row>
    <row r="38">
      <c r="A38" s="130" t="n"/>
      <c r="B38" s="130" t="n"/>
      <c r="C38" s="130" t="n"/>
      <c r="D38" s="130" t="n"/>
      <c r="E38" s="130" t="n"/>
      <c r="F38" s="130" t="n"/>
      <c r="G38" s="130" t="n"/>
      <c r="H38" s="130" t="n"/>
      <c r="I38" s="130" t="n"/>
      <c r="J38" s="130" t="n"/>
      <c r="K38" s="130" t="n"/>
      <c r="L38" s="130" t="n"/>
      <c r="M38" s="130" t="n"/>
    </row>
    <row r="39">
      <c r="A39" s="130" t="n"/>
      <c r="B39" s="169" t="inlineStr">
        <is>
          <t>Régimen de Medidas Mínimas (RMM) · resultado por componente</t>
        </is>
      </c>
      <c r="C39" s="130" t="n"/>
      <c r="D39" s="130" t="n"/>
      <c r="E39" s="130" t="n"/>
      <c r="F39" s="130" t="n"/>
      <c r="G39" s="130" t="n"/>
      <c r="H39" s="130" t="n"/>
      <c r="I39" s="130" t="n"/>
      <c r="J39" s="130" t="n"/>
      <c r="K39" s="130" t="n"/>
      <c r="L39" s="130" t="n"/>
      <c r="M39" s="130" t="n"/>
    </row>
    <row r="40" ht="30" customHeight="1">
      <c r="A40" s="130" t="n"/>
      <c r="B40" s="136" t="inlineStr">
        <is>
          <t>Componente</t>
        </is>
      </c>
      <c r="C40" s="170" t="inlineStr">
        <is>
          <t>Requisitos</t>
        </is>
      </c>
      <c r="D40" s="170" t="inlineStr">
        <is>
          <t>Aplican</t>
        </is>
      </c>
      <c r="E40" s="170" t="inlineStr">
        <is>
          <t>Calificados</t>
        </is>
      </c>
      <c r="F40" s="170" t="inlineStr">
        <is>
          <t>% cumplimiento</t>
        </is>
      </c>
      <c r="G40" s="170" t="inlineStr">
        <is>
          <t>Nivel</t>
        </is>
      </c>
      <c r="H40" s="170" t="inlineStr">
        <is>
          <t>Cumple totalmente</t>
        </is>
      </c>
      <c r="I40" s="170" t="inlineStr">
        <is>
          <t>En gran medida</t>
        </is>
      </c>
      <c r="J40" s="170" t="inlineStr">
        <is>
          <t>Parcialmente</t>
        </is>
      </c>
      <c r="K40" s="170" t="inlineStr">
        <is>
          <t>Incipiente</t>
        </is>
      </c>
      <c r="L40" s="170" t="inlineStr">
        <is>
          <t>No cumple</t>
        </is>
      </c>
      <c r="M40" s="170" t="inlineStr">
        <is>
          <t>Sin calificar</t>
        </is>
      </c>
    </row>
    <row r="41" ht="22" customHeight="1">
      <c r="A41" s="130" t="n"/>
      <c r="B41" s="139" t="inlineStr">
        <is>
          <t>01. Análisis de riesgo y responsable</t>
        </is>
      </c>
      <c r="C41" s="171">
        <f>COUNTIF('Matriz RMM'!$B$7:$B$400,B41)</f>
        <v/>
      </c>
      <c r="D41" s="171">
        <f>C41-COUNTIFS('Matriz RMM'!$B$7:$B$400,B41,'Matriz RMM'!$I$7:$I$400,"No aplica")</f>
        <v/>
      </c>
      <c r="E41" s="171">
        <f>COUNTIFS('Matriz RMM'!$B$7:$B$400,B41,'Matriz RMM'!$I$7:$I$400,"?*")-COUNTIFS('Matriz RMM'!$B$7:$B$400,B41,'Matriz RMM'!$I$7:$I$400,"No aplica")</f>
        <v/>
      </c>
      <c r="F41" s="172">
        <f>IF(SUMIFS('Matriz RMM'!$Q$7:$Q$400,'Matriz RMM'!$B$7:$B$400,B41)=0,"N/A",SUMIFS('Matriz RMM'!$R$7:$R$400,'Matriz RMM'!$B$7:$B$400,B41)/SUMIFS('Matriz RMM'!$Q$7:$Q$400,'Matriz RMM'!$B$7:$B$400,B41))</f>
        <v/>
      </c>
      <c r="G41" s="171">
        <f>IF(NOT(ISNUMBER(F41)),"N/A",IF(F41&gt;=Escala!$C$14,"Adecuado",IF(F41&gt;=Escala!$C$15,"Aceptable",IF(F41&gt;=Escala!$C$16,"En desarrollo","Crítico"))))</f>
        <v/>
      </c>
      <c r="H41" s="173">
        <f>COUNTIFS('Matriz RMM'!$B$7:$B$400,B41,'Matriz RMM'!$I$7:$I$400,"Cumple totalmente")</f>
        <v/>
      </c>
      <c r="I41" s="173">
        <f>COUNTIFS('Matriz RMM'!$B$7:$B$400,B41,'Matriz RMM'!$I$7:$I$400,"Cumple en gran medida")</f>
        <v/>
      </c>
      <c r="J41" s="173">
        <f>COUNTIFS('Matriz RMM'!$B$7:$B$400,B41,'Matriz RMM'!$I$7:$I$400,"Cumple parcialmente")</f>
        <v/>
      </c>
      <c r="K41" s="173">
        <f>COUNTIFS('Matriz RMM'!$B$7:$B$400,B41,'Matriz RMM'!$I$7:$I$400,"Cumplimiento incipiente")</f>
        <v/>
      </c>
      <c r="L41" s="173">
        <f>COUNTIFS('Matriz RMM'!$B$7:$B$400,B41,'Matriz RMM'!$I$7:$I$400,"No cumple")</f>
        <v/>
      </c>
      <c r="M41" s="173">
        <f>D41-E41</f>
        <v/>
      </c>
    </row>
    <row r="42" ht="22" customHeight="1">
      <c r="A42" s="130" t="n"/>
      <c r="B42" s="174" t="inlineStr">
        <is>
          <t>02. Diseño y aprobación del RMM</t>
        </is>
      </c>
      <c r="C42" s="175">
        <f>COUNTIF('Matriz RMM'!$B$7:$B$400,B42)</f>
        <v/>
      </c>
      <c r="D42" s="175">
        <f>C42-COUNTIFS('Matriz RMM'!$B$7:$B$400,B42,'Matriz RMM'!$I$7:$I$400,"No aplica")</f>
        <v/>
      </c>
      <c r="E42" s="175">
        <f>COUNTIFS('Matriz RMM'!$B$7:$B$400,B42,'Matriz RMM'!$I$7:$I$400,"?*")-COUNTIFS('Matriz RMM'!$B$7:$B$400,B42,'Matriz RMM'!$I$7:$I$400,"No aplica")</f>
        <v/>
      </c>
      <c r="F42" s="176">
        <f>IF(SUMIFS('Matriz RMM'!$Q$7:$Q$400,'Matriz RMM'!$B$7:$B$400,B42)=0,"N/A",SUMIFS('Matriz RMM'!$R$7:$R$400,'Matriz RMM'!$B$7:$B$400,B42)/SUMIFS('Matriz RMM'!$Q$7:$Q$400,'Matriz RMM'!$B$7:$B$400,B42))</f>
        <v/>
      </c>
      <c r="G42" s="175">
        <f>IF(NOT(ISNUMBER(F42)),"N/A",IF(F42&gt;=Escala!$C$14,"Adecuado",IF(F42&gt;=Escala!$C$15,"Aceptable",IF(F42&gt;=Escala!$C$16,"En desarrollo","Crítico"))))</f>
        <v/>
      </c>
      <c r="H42" s="177">
        <f>COUNTIFS('Matriz RMM'!$B$7:$B$400,B42,'Matriz RMM'!$I$7:$I$400,"Cumple totalmente")</f>
        <v/>
      </c>
      <c r="I42" s="177">
        <f>COUNTIFS('Matriz RMM'!$B$7:$B$400,B42,'Matriz RMM'!$I$7:$I$400,"Cumple en gran medida")</f>
        <v/>
      </c>
      <c r="J42" s="177">
        <f>COUNTIFS('Matriz RMM'!$B$7:$B$400,B42,'Matriz RMM'!$I$7:$I$400,"Cumple parcialmente")</f>
        <v/>
      </c>
      <c r="K42" s="177">
        <f>COUNTIFS('Matriz RMM'!$B$7:$B$400,B42,'Matriz RMM'!$I$7:$I$400,"Cumplimiento incipiente")</f>
        <v/>
      </c>
      <c r="L42" s="177">
        <f>COUNTIFS('Matriz RMM'!$B$7:$B$400,B42,'Matriz RMM'!$I$7:$I$400,"No cumple")</f>
        <v/>
      </c>
      <c r="M42" s="177">
        <f>D42-E42</f>
        <v/>
      </c>
    </row>
    <row r="43" ht="22" customHeight="1">
      <c r="A43" s="130" t="n"/>
      <c r="B43" s="139" t="inlineStr">
        <is>
          <t>03. Divulgación y capacitación</t>
        </is>
      </c>
      <c r="C43" s="171">
        <f>COUNTIF('Matriz RMM'!$B$7:$B$400,B43)</f>
        <v/>
      </c>
      <c r="D43" s="171">
        <f>C43-COUNTIFS('Matriz RMM'!$B$7:$B$400,B43,'Matriz RMM'!$I$7:$I$400,"No aplica")</f>
        <v/>
      </c>
      <c r="E43" s="171">
        <f>COUNTIFS('Matriz RMM'!$B$7:$B$400,B43,'Matriz RMM'!$I$7:$I$400,"?*")-COUNTIFS('Matriz RMM'!$B$7:$B$400,B43,'Matriz RMM'!$I$7:$I$400,"No aplica")</f>
        <v/>
      </c>
      <c r="F43" s="172">
        <f>IF(SUMIFS('Matriz RMM'!$Q$7:$Q$400,'Matriz RMM'!$B$7:$B$400,B43)=0,"N/A",SUMIFS('Matriz RMM'!$R$7:$R$400,'Matriz RMM'!$B$7:$B$400,B43)/SUMIFS('Matriz RMM'!$Q$7:$Q$400,'Matriz RMM'!$B$7:$B$400,B43))</f>
        <v/>
      </c>
      <c r="G43" s="171">
        <f>IF(NOT(ISNUMBER(F43)),"N/A",IF(F43&gt;=Escala!$C$14,"Adecuado",IF(F43&gt;=Escala!$C$15,"Aceptable",IF(F43&gt;=Escala!$C$16,"En desarrollo","Crítico"))))</f>
        <v/>
      </c>
      <c r="H43" s="173">
        <f>COUNTIFS('Matriz RMM'!$B$7:$B$400,B43,'Matriz RMM'!$I$7:$I$400,"Cumple totalmente")</f>
        <v/>
      </c>
      <c r="I43" s="173">
        <f>COUNTIFS('Matriz RMM'!$B$7:$B$400,B43,'Matriz RMM'!$I$7:$I$400,"Cumple en gran medida")</f>
        <v/>
      </c>
      <c r="J43" s="173">
        <f>COUNTIFS('Matriz RMM'!$B$7:$B$400,B43,'Matriz RMM'!$I$7:$I$400,"Cumple parcialmente")</f>
        <v/>
      </c>
      <c r="K43" s="173">
        <f>COUNTIFS('Matriz RMM'!$B$7:$B$400,B43,'Matriz RMM'!$I$7:$I$400,"Cumplimiento incipiente")</f>
        <v/>
      </c>
      <c r="L43" s="173">
        <f>COUNTIFS('Matriz RMM'!$B$7:$B$400,B43,'Matriz RMM'!$I$7:$I$400,"No cumple")</f>
        <v/>
      </c>
      <c r="M43" s="173">
        <f>D43-E43</f>
        <v/>
      </c>
    </row>
    <row r="44" ht="22" customHeight="1">
      <c r="A44" s="130" t="n"/>
      <c r="B44" s="174" t="inlineStr">
        <is>
          <t>04. Debida diligencia</t>
        </is>
      </c>
      <c r="C44" s="175">
        <f>COUNTIF('Matriz RMM'!$B$7:$B$400,B44)</f>
        <v/>
      </c>
      <c r="D44" s="175">
        <f>C44-COUNTIFS('Matriz RMM'!$B$7:$B$400,B44,'Matriz RMM'!$I$7:$I$400,"No aplica")</f>
        <v/>
      </c>
      <c r="E44" s="175">
        <f>COUNTIFS('Matriz RMM'!$B$7:$B$400,B44,'Matriz RMM'!$I$7:$I$400,"?*")-COUNTIFS('Matriz RMM'!$B$7:$B$400,B44,'Matriz RMM'!$I$7:$I$400,"No aplica")</f>
        <v/>
      </c>
      <c r="F44" s="176">
        <f>IF(SUMIFS('Matriz RMM'!$Q$7:$Q$400,'Matriz RMM'!$B$7:$B$400,B44)=0,"N/A",SUMIFS('Matriz RMM'!$R$7:$R$400,'Matriz RMM'!$B$7:$B$400,B44)/SUMIFS('Matriz RMM'!$Q$7:$Q$400,'Matriz RMM'!$B$7:$B$400,B44))</f>
        <v/>
      </c>
      <c r="G44" s="175">
        <f>IF(NOT(ISNUMBER(F44)),"N/A",IF(F44&gt;=Escala!$C$14,"Adecuado",IF(F44&gt;=Escala!$C$15,"Aceptable",IF(F44&gt;=Escala!$C$16,"En desarrollo","Crítico"))))</f>
        <v/>
      </c>
      <c r="H44" s="177">
        <f>COUNTIFS('Matriz RMM'!$B$7:$B$400,B44,'Matriz RMM'!$I$7:$I$400,"Cumple totalmente")</f>
        <v/>
      </c>
      <c r="I44" s="177">
        <f>COUNTIFS('Matriz RMM'!$B$7:$B$400,B44,'Matriz RMM'!$I$7:$I$400,"Cumple en gran medida")</f>
        <v/>
      </c>
      <c r="J44" s="177">
        <f>COUNTIFS('Matriz RMM'!$B$7:$B$400,B44,'Matriz RMM'!$I$7:$I$400,"Cumple parcialmente")</f>
        <v/>
      </c>
      <c r="K44" s="177">
        <f>COUNTIFS('Matriz RMM'!$B$7:$B$400,B44,'Matriz RMM'!$I$7:$I$400,"Cumplimiento incipiente")</f>
        <v/>
      </c>
      <c r="L44" s="177">
        <f>COUNTIFS('Matriz RMM'!$B$7:$B$400,B44,'Matriz RMM'!$I$7:$I$400,"No cumple")</f>
        <v/>
      </c>
      <c r="M44" s="177">
        <f>D44-E44</f>
        <v/>
      </c>
    </row>
    <row r="45" ht="22" customHeight="1">
      <c r="A45" s="130" t="n"/>
      <c r="B45" s="139" t="inlineStr">
        <is>
          <t>05. Reportes y canales</t>
        </is>
      </c>
      <c r="C45" s="171">
        <f>COUNTIF('Matriz RMM'!$B$7:$B$400,B45)</f>
        <v/>
      </c>
      <c r="D45" s="171">
        <f>C45-COUNTIFS('Matriz RMM'!$B$7:$B$400,B45,'Matriz RMM'!$I$7:$I$400,"No aplica")</f>
        <v/>
      </c>
      <c r="E45" s="171">
        <f>COUNTIFS('Matriz RMM'!$B$7:$B$400,B45,'Matriz RMM'!$I$7:$I$400,"?*")-COUNTIFS('Matriz RMM'!$B$7:$B$400,B45,'Matriz RMM'!$I$7:$I$400,"No aplica")</f>
        <v/>
      </c>
      <c r="F45" s="172">
        <f>IF(SUMIFS('Matriz RMM'!$Q$7:$Q$400,'Matriz RMM'!$B$7:$B$400,B45)=0,"N/A",SUMIFS('Matriz RMM'!$R$7:$R$400,'Matriz RMM'!$B$7:$B$400,B45)/SUMIFS('Matriz RMM'!$Q$7:$Q$400,'Matriz RMM'!$B$7:$B$400,B45))</f>
        <v/>
      </c>
      <c r="G45" s="171">
        <f>IF(NOT(ISNUMBER(F45)),"N/A",IF(F45&gt;=Escala!$C$14,"Adecuado",IF(F45&gt;=Escala!$C$15,"Aceptable",IF(F45&gt;=Escala!$C$16,"En desarrollo","Crítico"))))</f>
        <v/>
      </c>
      <c r="H45" s="173">
        <f>COUNTIFS('Matriz RMM'!$B$7:$B$400,B45,'Matriz RMM'!$I$7:$I$400,"Cumple totalmente")</f>
        <v/>
      </c>
      <c r="I45" s="173">
        <f>COUNTIFS('Matriz RMM'!$B$7:$B$400,B45,'Matriz RMM'!$I$7:$I$400,"Cumple en gran medida")</f>
        <v/>
      </c>
      <c r="J45" s="173">
        <f>COUNTIFS('Matriz RMM'!$B$7:$B$400,B45,'Matriz RMM'!$I$7:$I$400,"Cumple parcialmente")</f>
        <v/>
      </c>
      <c r="K45" s="173">
        <f>COUNTIFS('Matriz RMM'!$B$7:$B$400,B45,'Matriz RMM'!$I$7:$I$400,"Cumplimiento incipiente")</f>
        <v/>
      </c>
      <c r="L45" s="173">
        <f>COUNTIFS('Matriz RMM'!$B$7:$B$400,B45,'Matriz RMM'!$I$7:$I$400,"No cumple")</f>
        <v/>
      </c>
      <c r="M45" s="173">
        <f>D45-E45</f>
        <v/>
      </c>
    </row>
    <row r="46" ht="22" customHeight="1">
      <c r="A46" s="130" t="n"/>
      <c r="B46" s="174" t="inlineStr">
        <is>
          <t>06. Conservación de la información</t>
        </is>
      </c>
      <c r="C46" s="175">
        <f>COUNTIF('Matriz RMM'!$B$7:$B$400,B46)</f>
        <v/>
      </c>
      <c r="D46" s="175">
        <f>C46-COUNTIFS('Matriz RMM'!$B$7:$B$400,B46,'Matriz RMM'!$I$7:$I$400,"No aplica")</f>
        <v/>
      </c>
      <c r="E46" s="175">
        <f>COUNTIFS('Matriz RMM'!$B$7:$B$400,B46,'Matriz RMM'!$I$7:$I$400,"?*")-COUNTIFS('Matriz RMM'!$B$7:$B$400,B46,'Matriz RMM'!$I$7:$I$400,"No aplica")</f>
        <v/>
      </c>
      <c r="F46" s="176">
        <f>IF(SUMIFS('Matriz RMM'!$Q$7:$Q$400,'Matriz RMM'!$B$7:$B$400,B46)=0,"N/A",SUMIFS('Matriz RMM'!$R$7:$R$400,'Matriz RMM'!$B$7:$B$400,B46)/SUMIFS('Matriz RMM'!$Q$7:$Q$400,'Matriz RMM'!$B$7:$B$400,B46))</f>
        <v/>
      </c>
      <c r="G46" s="175">
        <f>IF(NOT(ISNUMBER(F46)),"N/A",IF(F46&gt;=Escala!$C$14,"Adecuado",IF(F46&gt;=Escala!$C$15,"Aceptable",IF(F46&gt;=Escala!$C$16,"En desarrollo","Crítico"))))</f>
        <v/>
      </c>
      <c r="H46" s="177">
        <f>COUNTIFS('Matriz RMM'!$B$7:$B$400,B46,'Matriz RMM'!$I$7:$I$400,"Cumple totalmente")</f>
        <v/>
      </c>
      <c r="I46" s="177">
        <f>COUNTIFS('Matriz RMM'!$B$7:$B$400,B46,'Matriz RMM'!$I$7:$I$400,"Cumple en gran medida")</f>
        <v/>
      </c>
      <c r="J46" s="177">
        <f>COUNTIFS('Matriz RMM'!$B$7:$B$400,B46,'Matriz RMM'!$I$7:$I$400,"Cumple parcialmente")</f>
        <v/>
      </c>
      <c r="K46" s="177">
        <f>COUNTIFS('Matriz RMM'!$B$7:$B$400,B46,'Matriz RMM'!$I$7:$I$400,"Cumplimiento incipiente")</f>
        <v/>
      </c>
      <c r="L46" s="177">
        <f>COUNTIFS('Matriz RMM'!$B$7:$B$400,B46,'Matriz RMM'!$I$7:$I$400,"No cumple")</f>
        <v/>
      </c>
      <c r="M46" s="177">
        <f>D46-E46</f>
        <v/>
      </c>
    </row>
    <row r="47" ht="22" customHeight="1">
      <c r="A47" s="130" t="n"/>
      <c r="B47" s="139" t="inlineStr">
        <is>
          <t>07. Transición y permanencia</t>
        </is>
      </c>
      <c r="C47" s="171">
        <f>COUNTIF('Matriz RMM'!$B$7:$B$400,B47)</f>
        <v/>
      </c>
      <c r="D47" s="171">
        <f>C47-COUNTIFS('Matriz RMM'!$B$7:$B$400,B47,'Matriz RMM'!$I$7:$I$400,"No aplica")</f>
        <v/>
      </c>
      <c r="E47" s="171">
        <f>COUNTIFS('Matriz RMM'!$B$7:$B$400,B47,'Matriz RMM'!$I$7:$I$400,"?*")-COUNTIFS('Matriz RMM'!$B$7:$B$400,B47,'Matriz RMM'!$I$7:$I$400,"No aplica")</f>
        <v/>
      </c>
      <c r="F47" s="172">
        <f>IF(SUMIFS('Matriz RMM'!$Q$7:$Q$400,'Matriz RMM'!$B$7:$B$400,B47)=0,"N/A",SUMIFS('Matriz RMM'!$R$7:$R$400,'Matriz RMM'!$B$7:$B$400,B47)/SUMIFS('Matriz RMM'!$Q$7:$Q$400,'Matriz RMM'!$B$7:$B$400,B47))</f>
        <v/>
      </c>
      <c r="G47" s="171">
        <f>IF(NOT(ISNUMBER(F47)),"N/A",IF(F47&gt;=Escala!$C$14,"Adecuado",IF(F47&gt;=Escala!$C$15,"Aceptable",IF(F47&gt;=Escala!$C$16,"En desarrollo","Crítico"))))</f>
        <v/>
      </c>
      <c r="H47" s="173">
        <f>COUNTIFS('Matriz RMM'!$B$7:$B$400,B47,'Matriz RMM'!$I$7:$I$400,"Cumple totalmente")</f>
        <v/>
      </c>
      <c r="I47" s="173">
        <f>COUNTIFS('Matriz RMM'!$B$7:$B$400,B47,'Matriz RMM'!$I$7:$I$400,"Cumple en gran medida")</f>
        <v/>
      </c>
      <c r="J47" s="173">
        <f>COUNTIFS('Matriz RMM'!$B$7:$B$400,B47,'Matriz RMM'!$I$7:$I$400,"Cumple parcialmente")</f>
        <v/>
      </c>
      <c r="K47" s="173">
        <f>COUNTIFS('Matriz RMM'!$B$7:$B$400,B47,'Matriz RMM'!$I$7:$I$400,"Cumplimiento incipiente")</f>
        <v/>
      </c>
      <c r="L47" s="173">
        <f>COUNTIFS('Matriz RMM'!$B$7:$B$400,B47,'Matriz RMM'!$I$7:$I$400,"No cumple")</f>
        <v/>
      </c>
      <c r="M47" s="173">
        <f>D47-E47</f>
        <v/>
      </c>
    </row>
    <row r="48" ht="24" customHeight="1">
      <c r="A48" s="130" t="n"/>
      <c r="B48" s="178" t="inlineStr">
        <is>
          <t>TOTAL</t>
        </is>
      </c>
      <c r="C48" s="179">
        <f>SUM(C41:C47)</f>
        <v/>
      </c>
      <c r="D48" s="179">
        <f>SUM(D41:D47)</f>
        <v/>
      </c>
      <c r="E48" s="179">
        <f>SUM(E41:E47)</f>
        <v/>
      </c>
      <c r="F48" s="180">
        <f>IF(SUM('Matriz RMM'!$Q$7:$Q$400)=0,"N/A",SUM('Matriz RMM'!$R$7:$R$400)/SUM('Matriz RMM'!$Q$7:$Q$400))</f>
        <v/>
      </c>
      <c r="G48" s="179">
        <f>IF(NOT(ISNUMBER(F48)),"N/A",IF(F48&gt;=Escala!$C$14,"Adecuado",IF(F48&gt;=Escala!$C$15,"Aceptable",IF(F48&gt;=Escala!$C$16,"En desarrollo","Crítico"))))</f>
        <v/>
      </c>
      <c r="H48" s="179">
        <f>SUM(H41:H47)</f>
        <v/>
      </c>
      <c r="I48" s="179">
        <f>SUM(I41:I47)</f>
        <v/>
      </c>
      <c r="J48" s="179">
        <f>SUM(J41:J47)</f>
        <v/>
      </c>
      <c r="K48" s="179">
        <f>SUM(K41:K47)</f>
        <v/>
      </c>
      <c r="L48" s="179">
        <f>SUM(L41:L47)</f>
        <v/>
      </c>
      <c r="M48" s="179">
        <f>SUM(M41:M47)</f>
        <v/>
      </c>
    </row>
  </sheetData>
  <mergeCells count="19">
    <mergeCell ref="C9:E9"/>
    <mergeCell ref="F13:G14"/>
    <mergeCell ref="H13:I14"/>
    <mergeCell ref="F12:G12"/>
    <mergeCell ref="L12:M12"/>
    <mergeCell ref="F15:G15"/>
    <mergeCell ref="J15:K15"/>
    <mergeCell ref="C8:E8"/>
    <mergeCell ref="L15:M15"/>
    <mergeCell ref="C7:E7"/>
    <mergeCell ref="B4:M4"/>
    <mergeCell ref="J13:K14"/>
    <mergeCell ref="C6:E6"/>
    <mergeCell ref="L13:M14"/>
    <mergeCell ref="H12:I12"/>
    <mergeCell ref="J12:K12"/>
    <mergeCell ref="H15:I15"/>
    <mergeCell ref="B13:E15"/>
    <mergeCell ref="C10:E10"/>
  </mergeCells>
  <conditionalFormatting sqref="G20:G35">
    <cfRule type="expression" priority="1" dxfId="0">
      <formula>G20="Adecuado"</formula>
    </cfRule>
    <cfRule type="expression" priority="2" dxfId="1">
      <formula>G20="Aceptable"</formula>
    </cfRule>
    <cfRule type="expression" priority="3" dxfId="2">
      <formula>G20="En desarrollo"</formula>
    </cfRule>
    <cfRule type="expression" priority="4" dxfId="3">
      <formula>G20="Crítico"</formula>
    </cfRule>
  </conditionalFormatting>
  <conditionalFormatting sqref="F20:F35">
    <cfRule type="expression" priority="5" dxfId="4" stopIfTrue="1">
      <formula>AND(ISNUMBER(F20),F20&gt;=Escala!$C$14)</formula>
    </cfRule>
    <cfRule type="expression" priority="6" dxfId="5" stopIfTrue="1">
      <formula>AND(ISNUMBER(F20),F20&gt;=Escala!$C$15)</formula>
    </cfRule>
    <cfRule type="expression" priority="7" dxfId="6" stopIfTrue="1">
      <formula>AND(ISNUMBER(F20),F20&gt;=Escala!$C$16)</formula>
    </cfRule>
    <cfRule type="expression" priority="8" dxfId="7" stopIfTrue="1">
      <formula>ISNUMBER(F20)</formula>
    </cfRule>
    <cfRule type="dataBar" priority="9">
      <dataBar showValue="1">
        <cfvo type="num" val="0"/>
        <cfvo type="num" val="1"/>
        <color rgb="FFE3B8B2"/>
      </dataBar>
    </cfRule>
  </conditionalFormatting>
  <conditionalFormatting sqref="G41:G48">
    <cfRule type="expression" priority="10" dxfId="0">
      <formula>G41="Adecuado"</formula>
    </cfRule>
    <cfRule type="expression" priority="11" dxfId="1">
      <formula>G41="Aceptable"</formula>
    </cfRule>
    <cfRule type="expression" priority="12" dxfId="2">
      <formula>G41="En desarrollo"</formula>
    </cfRule>
    <cfRule type="expression" priority="13" dxfId="3">
      <formula>G41="Crítico"</formula>
    </cfRule>
  </conditionalFormatting>
  <conditionalFormatting sqref="F41:F48">
    <cfRule type="expression" priority="14" dxfId="4" stopIfTrue="1">
      <formula>AND(ISNUMBER(F41),F41&gt;=Escala!$C$14)</formula>
    </cfRule>
    <cfRule type="expression" priority="15" dxfId="5" stopIfTrue="1">
      <formula>AND(ISNUMBER(F41),F41&gt;=Escala!$C$15)</formula>
    </cfRule>
    <cfRule type="expression" priority="16" dxfId="6" stopIfTrue="1">
      <formula>AND(ISNUMBER(F41),F41&gt;=Escala!$C$16)</formula>
    </cfRule>
    <cfRule type="expression" priority="17" dxfId="7" stopIfTrue="1">
      <formula>ISNUMBER(F41)</formula>
    </cfRule>
    <cfRule type="dataBar" priority="18">
      <dataBar showValue="1">
        <cfvo type="num" val="0"/>
        <cfvo type="num" val="1"/>
        <color rgb="FFE3B8B2"/>
      </dataBar>
    </cfRule>
  </conditionalFormatting>
  <conditionalFormatting sqref="F15">
    <cfRule type="expression" priority="19" dxfId="0">
      <formula>F15="Adecuado"</formula>
    </cfRule>
    <cfRule type="expression" priority="20" dxfId="1">
      <formula>F15="Aceptable"</formula>
    </cfRule>
    <cfRule type="expression" priority="21" dxfId="2">
      <formula>F15="En desarrollo"</formula>
    </cfRule>
    <cfRule type="expression" priority="22" dxfId="3">
      <formula>F15="Crítico"</formula>
    </cfRule>
  </conditionalFormatting>
  <conditionalFormatting sqref="F13">
    <cfRule type="expression" priority="23" dxfId="4" stopIfTrue="1">
      <formula>AND(ISNUMBER(F13),F13&gt;=Escala!$C$14)</formula>
    </cfRule>
    <cfRule type="expression" priority="24" dxfId="5" stopIfTrue="1">
      <formula>AND(ISNUMBER(F13),F13&gt;=Escala!$C$15)</formula>
    </cfRule>
    <cfRule type="expression" priority="25" dxfId="6" stopIfTrue="1">
      <formula>AND(ISNUMBER(F13),F13&gt;=Escala!$C$16)</formula>
    </cfRule>
    <cfRule type="expression" priority="26" dxfId="7" stopIfTrue="1">
      <formula>ISNUMBER(F13)</formula>
    </cfRule>
  </conditionalFormatting>
  <dataValidations count="1">
    <dataValidation sqref="C8" showDropDown="0" showInputMessage="0" showErrorMessage="0" allowBlank="0" type="list">
      <formula1>=Escala!$F$5:$F$6</formula1>
    </dataValidation>
  </dataValidations>
  <pageMargins left="0.75" right="0.75" top="1" bottom="1" header="0.5" footer="0.5"/>
  <pageSetup orientation="landscape" fitToHeight="0" fitToWidth="1"/>
  <headerFooter>
    <oddHeader>&amp;L&amp;"Georgia,Bold"&amp;KA12B22Criterio Compliance&amp;R&amp;K57534A&amp;A</oddHeader>
    <oddFooter>&amp;L&amp;8 &amp;K57534Acriteriocompliance.com · Herramienta orientativa: no reemplaza la asesoría profesional&amp;R&amp;8 Pág. &amp;P de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tabColor rgb="0057534A"/>
    <outlinePr summaryBelow="1" summaryRight="1"/>
    <pageSetUpPr fitToPage="1"/>
  </sheetPr>
  <dimension ref="A1:F36"/>
  <sheetViews>
    <sheetView showGridLines="0" workbookViewId="0">
      <selection activeCell="A1" sqref="A1"/>
    </sheetView>
  </sheetViews>
  <sheetFormatPr baseColWidth="8" defaultRowHeight="15"/>
  <cols>
    <col width="60" customWidth="1" min="1" max="1"/>
    <col width="44" customWidth="1" min="2" max="2"/>
    <col width="30" customWidth="1" min="3" max="3"/>
    <col width="50" customWidth="1" min="4" max="4"/>
    <col width="13" customWidth="1" min="5" max="5"/>
    <col width="20" customWidth="1" min="6" max="6"/>
  </cols>
  <sheetData>
    <row r="1">
      <c r="A1" s="132" t="inlineStr">
        <is>
          <t>¿Qué régimen me aplica?</t>
        </is>
      </c>
      <c r="B1" s="130" t="n"/>
      <c r="C1" s="130" t="n"/>
      <c r="D1" s="130" t="n"/>
      <c r="E1" s="130" t="n"/>
      <c r="F1" s="130" t="n"/>
    </row>
    <row r="2">
      <c r="A2" s="134" t="inlineStr">
        <is>
          <t>Ámbito de aplicación (num. 9.4 a 9.6 y 9.23 a 9.24). Herramienta orientativa: prevalece el texto de la Circular. Umbrales en UVB con corte al 31 de diciembre del año anterior.</t>
        </is>
      </c>
      <c r="B2" s="130" t="n"/>
      <c r="C2" s="130" t="n"/>
      <c r="D2" s="130" t="n"/>
      <c r="E2" s="130" t="n"/>
      <c r="F2" s="130" t="n"/>
    </row>
    <row r="3">
      <c r="A3" s="151" t="inlineStr">
        <is>
          <t>Criterio Compliance · criteriocompliance.com   ·   Herramienta orientativa de autodiagnóstico. No reemplaza la asesoría de un profesional ni constituye una certificación de cumplimiento.</t>
        </is>
      </c>
    </row>
    <row r="4" ht="22" customHeight="1">
      <c r="A4" s="136" t="inlineStr">
        <is>
          <t>1 · DATOS DE ENTRADA</t>
        </is>
      </c>
      <c r="B4" s="137" t="n"/>
      <c r="C4" s="130" t="n"/>
      <c r="D4" s="182" t="inlineStr">
        <is>
          <t>UMBRALES</t>
        </is>
      </c>
      <c r="E4" s="183" t="inlineStr">
        <is>
          <t>UVB</t>
        </is>
      </c>
      <c r="F4" s="183" t="inlineStr">
        <is>
          <t>Numeral / pág.</t>
        </is>
      </c>
    </row>
    <row r="5" ht="30" customHeight="1">
      <c r="A5" s="139" t="inlineStr">
        <is>
          <t>Tipo de entidad</t>
        </is>
      </c>
      <c r="B5" s="184" t="inlineStr">
        <is>
          <t>Sociedad, empresa unipersonal o sucursal</t>
        </is>
      </c>
      <c r="C5" s="130" t="n"/>
      <c r="D5" s="185" t="inlineStr">
        <is>
          <t>Régimen general y cámaras de comercio (Sistema)</t>
        </is>
      </c>
      <c r="E5" s="186" t="n">
        <v>4929017</v>
      </c>
      <c r="F5" s="187" t="inlineStr">
        <is>
          <t>9.4 / 9.5.9 · 168, 171</t>
        </is>
      </c>
    </row>
    <row r="6" ht="30" customHeight="1">
      <c r="A6" s="139" t="inlineStr">
        <is>
          <t>¿Sujeta a vigilancia o control de la Supersociedades (arts. 84 y 85 Ley 222 de 1995)?</t>
        </is>
      </c>
      <c r="B6" s="184" t="inlineStr">
        <is>
          <t>Sí</t>
        </is>
      </c>
      <c r="C6" s="130" t="n"/>
      <c r="D6" s="185" t="inlineStr">
        <is>
          <t>Sectores 9.5.1 a 9.5.6 (Sistema)</t>
        </is>
      </c>
      <c r="E6" s="186" t="n">
        <v>3696762</v>
      </c>
      <c r="F6" s="187" t="inlineStr">
        <is>
          <t>9.5 · 168-169</t>
        </is>
      </c>
    </row>
    <row r="7" ht="30" customHeight="1">
      <c r="A7" s="139" t="inlineStr">
        <is>
          <t>¿Vigilada por otra entidad con régimen especial por su actividad?</t>
        </is>
      </c>
      <c r="B7" s="184" t="inlineStr">
        <is>
          <t>No</t>
        </is>
      </c>
      <c r="C7" s="130" t="n"/>
      <c r="D7" s="185" t="inlineStr">
        <is>
          <t>Activos virtuales: aportes u operaciones</t>
        </is>
      </c>
      <c r="E7" s="186" t="n">
        <v>12323</v>
      </c>
      <c r="F7" s="187" t="inlineStr">
        <is>
          <t>9.5.7 · 170</t>
        </is>
      </c>
    </row>
    <row r="8" ht="30" customHeight="1">
      <c r="A8" s="139" t="inlineStr">
        <is>
          <t>¿En liquidación, intervención judicial o con causal de disolución por negocio en marcha reconocida?</t>
        </is>
      </c>
      <c r="B8" s="184" t="inlineStr">
        <is>
          <t>No</t>
        </is>
      </c>
      <c r="C8" s="130" t="n"/>
      <c r="D8" s="185" t="inlineStr">
        <is>
          <t>RMM e ingresos para activos virtuales</t>
        </is>
      </c>
      <c r="E8" s="186" t="n">
        <v>369676</v>
      </c>
      <c r="F8" s="187" t="inlineStr">
        <is>
          <t>9.5.7 / 9.6 · 170-173</t>
        </is>
      </c>
    </row>
    <row r="9" ht="30" customHeight="1">
      <c r="A9" s="139" t="inlineStr">
        <is>
          <t>Sector según CIIU inscrito en el registro mercantil</t>
        </is>
      </c>
      <c r="B9" s="184" t="inlineStr">
        <is>
          <t>Ninguno de los sectores listados</t>
        </is>
      </c>
      <c r="C9" s="130" t="n"/>
      <c r="D9" s="185" t="inlineStr">
        <is>
          <t>RMM y activos para activos virtuales</t>
        </is>
      </c>
      <c r="E9" s="186" t="n">
        <v>616127</v>
      </c>
      <c r="F9" s="187" t="inlineStr">
        <is>
          <t>9.5.7 / 9.6 · 170-173</t>
        </is>
      </c>
    </row>
    <row r="10" ht="30" customHeight="1">
      <c r="A10" s="139" t="inlineStr">
        <is>
          <t>Código CIIU principal (informativo)</t>
        </is>
      </c>
      <c r="B10" s="184" t="inlineStr">
        <is>
          <t>4631 (ilustrativo)</t>
        </is>
      </c>
      <c r="C10" s="130" t="n"/>
      <c r="D10" s="185" t="inlineStr">
        <is>
          <t>Cámaras de comercio · RMM (piso)</t>
        </is>
      </c>
      <c r="E10" s="186" t="n">
        <v>1109029</v>
      </c>
      <c r="F10" s="187" t="inlineStr">
        <is>
          <t>9.6.6 · 172</t>
        </is>
      </c>
    </row>
    <row r="11" ht="30" customHeight="1">
      <c r="A11" s="139" t="inlineStr">
        <is>
          <t>Valor de UNA UVB en pesos (fijado por el Ministerio de Hacienda para el año de corte)</t>
        </is>
      </c>
      <c r="B11" s="188" t="n">
        <v>12110</v>
      </c>
      <c r="C11" s="189" t="inlineStr">
        <is>
          <t>≈ 12.000 pesos; no es el valor de los ingresos</t>
        </is>
      </c>
      <c r="D11" s="130" t="n"/>
      <c r="E11" s="130" t="n"/>
      <c r="F11" s="130" t="n"/>
    </row>
    <row r="12" ht="30" customHeight="1">
      <c r="A12" s="139" t="inlineStr">
        <is>
          <t>Ingresos totales a 31-dic del año anterior, en pesos (cámaras: ingresos por actividades ordinarias)</t>
        </is>
      </c>
      <c r="B12" s="188" t="n">
        <v>82000000000</v>
      </c>
      <c r="C12" s="130" t="n"/>
      <c r="D12" s="130" t="n"/>
      <c r="E12" s="130" t="n"/>
      <c r="F12" s="130" t="n"/>
    </row>
    <row r="13" ht="30" customHeight="1">
      <c r="A13" s="139" t="inlineStr">
        <is>
          <t>Activos totales a 31-dic del año anterior, en pesos</t>
        </is>
      </c>
      <c r="B13" s="188" t="n">
        <v>61000000000</v>
      </c>
      <c r="C13" s="130" t="n"/>
      <c r="D13" s="182" t="inlineStr">
        <is>
          <t>SECTORES</t>
        </is>
      </c>
      <c r="E13" s="183" t="inlineStr">
        <is>
          <t>Sistema (9.5)</t>
        </is>
      </c>
      <c r="F13" s="183" t="inlineStr">
        <is>
          <t>RMM (9.6)</t>
        </is>
      </c>
    </row>
    <row r="14" ht="20" customHeight="1">
      <c r="A14" s="139" t="inlineStr">
        <is>
          <t>Aportes recibidos en activos virtuales a 31-dic, en pesos</t>
        </is>
      </c>
      <c r="B14" s="188" t="n">
        <v>0</v>
      </c>
      <c r="C14" s="130" t="n"/>
      <c r="D14" s="185" t="inlineStr">
        <is>
          <t>Ninguno de los sectores listados</t>
        </is>
      </c>
      <c r="E14" s="190" t="inlineStr">
        <is>
          <t>No</t>
        </is>
      </c>
      <c r="F14" s="190" t="inlineStr">
        <is>
          <t>No</t>
        </is>
      </c>
    </row>
    <row r="15" ht="20" customHeight="1">
      <c r="A15" s="139" t="inlineStr">
        <is>
          <t>Operaciones con activos virtuales por cuenta de terceros a 31-dic, en pesos</t>
        </is>
      </c>
      <c r="B15" s="188" t="n">
        <v>0</v>
      </c>
      <c r="C15" s="130" t="n"/>
      <c r="D15" s="185" t="inlineStr">
        <is>
          <t>Agentes inmobiliarios (6810, 6820)</t>
        </is>
      </c>
      <c r="E15" s="191" t="inlineStr">
        <is>
          <t>Sí</t>
        </is>
      </c>
      <c r="F15" s="191" t="inlineStr">
        <is>
          <t>Sí</t>
        </is>
      </c>
    </row>
    <row r="16" ht="26" customHeight="1">
      <c r="A16" s="130" t="n"/>
      <c r="B16" s="130" t="n"/>
      <c r="C16" s="130" t="n"/>
      <c r="D16" s="185" t="inlineStr">
        <is>
          <t>Metales y piedras preciosas (4662, 3211, 2421, 0722)</t>
        </is>
      </c>
      <c r="E16" s="191" t="inlineStr">
        <is>
          <t>Sí</t>
        </is>
      </c>
      <c r="F16" s="191" t="inlineStr">
        <is>
          <t>Sí</t>
        </is>
      </c>
    </row>
    <row r="17" ht="22" customHeight="1">
      <c r="A17" s="136" t="inlineStr">
        <is>
          <t>2 · CONVERSIÓN A UVB</t>
        </is>
      </c>
      <c r="B17" s="137" t="n"/>
      <c r="C17" s="130" t="n"/>
      <c r="D17" s="185" t="inlineStr">
        <is>
          <t>Servicios jurídicos (6910)</t>
        </is>
      </c>
      <c r="E17" s="191" t="inlineStr">
        <is>
          <t>Sí</t>
        </is>
      </c>
      <c r="F17" s="191" t="inlineStr">
        <is>
          <t>Sí</t>
        </is>
      </c>
    </row>
    <row r="18" ht="20" customHeight="1">
      <c r="A18" s="139" t="inlineStr">
        <is>
          <t>Ingresos en UVB</t>
        </is>
      </c>
      <c r="B18" s="192">
        <f>IF($B$11&gt;0,B12/$B$11,0)</f>
        <v/>
      </c>
      <c r="C18" s="130" t="n"/>
      <c r="D18" s="185" t="inlineStr">
        <is>
          <t>Servicios contables (6920)</t>
        </is>
      </c>
      <c r="E18" s="191" t="inlineStr">
        <is>
          <t>Sí</t>
        </is>
      </c>
      <c r="F18" s="191" t="inlineStr">
        <is>
          <t>Sí</t>
        </is>
      </c>
    </row>
    <row r="19" ht="26" customHeight="1">
      <c r="A19" s="139" t="inlineStr">
        <is>
          <t>Activos en UVB</t>
        </is>
      </c>
      <c r="B19" s="192">
        <f>IF($B$11&gt;0,B13/$B$11,0)</f>
        <v/>
      </c>
      <c r="C19" s="130" t="n"/>
      <c r="D19" s="185" t="inlineStr">
        <is>
          <t>Construcción de edificios y obras civiles (4111, 4112, 4210, 4220, 4290)</t>
        </is>
      </c>
      <c r="E19" s="191" t="inlineStr">
        <is>
          <t>Sí</t>
        </is>
      </c>
      <c r="F19" s="191" t="inlineStr">
        <is>
          <t>Sí</t>
        </is>
      </c>
    </row>
    <row r="20" ht="20" customHeight="1">
      <c r="A20" s="139" t="inlineStr">
        <is>
          <t>Aportes en activos virtuales en UVB</t>
        </is>
      </c>
      <c r="B20" s="192">
        <f>IF($B$11&gt;0,B14/$B$11,0)</f>
        <v/>
      </c>
      <c r="C20" s="130" t="n"/>
      <c r="D20" s="185" t="inlineStr">
        <is>
          <t>Comercio de vehículos (4511, 4512, 4541)</t>
        </is>
      </c>
      <c r="E20" s="191" t="inlineStr">
        <is>
          <t>Sí</t>
        </is>
      </c>
      <c r="F20" s="191" t="inlineStr">
        <is>
          <t>Sí</t>
        </is>
      </c>
    </row>
    <row r="21" ht="20" customHeight="1">
      <c r="A21" s="139" t="inlineStr">
        <is>
          <t>Operaciones con activos virtuales en UVB</t>
        </is>
      </c>
      <c r="B21" s="192">
        <f>IF($B$11&gt;0,B15/$B$11,0)</f>
        <v/>
      </c>
      <c r="C21" s="130" t="n"/>
      <c r="D21" s="185" t="inlineStr">
        <is>
          <t>Farmacéutico (2011, 2100, 3250, 4645)</t>
        </is>
      </c>
      <c r="E21" s="190" t="inlineStr">
        <is>
          <t>No</t>
        </is>
      </c>
      <c r="F21" s="191" t="inlineStr">
        <is>
          <t>Sí</t>
        </is>
      </c>
    </row>
    <row r="22" ht="20" customHeight="1">
      <c r="A22" s="130" t="n"/>
      <c r="B22" s="130" t="n"/>
      <c r="C22" s="130" t="n"/>
      <c r="D22" s="185" t="inlineStr">
        <is>
          <t>Manufacturero (códigos del num. 9.6.9)</t>
        </is>
      </c>
      <c r="E22" s="190" t="inlineStr">
        <is>
          <t>No</t>
        </is>
      </c>
      <c r="F22" s="191" t="inlineStr">
        <is>
          <t>Sí</t>
        </is>
      </c>
    </row>
    <row r="23" ht="22" customHeight="1">
      <c r="A23" s="136" t="inlineStr">
        <is>
          <t>3 · PRUEBAS POR NUMERAL</t>
        </is>
      </c>
      <c r="B23" s="137" t="n"/>
      <c r="C23" s="130" t="n"/>
      <c r="D23" s="185" t="inlineStr">
        <is>
          <t>Minero-energético (B05, B07, 4662)</t>
        </is>
      </c>
      <c r="E23" s="190" t="inlineStr">
        <is>
          <t>No</t>
        </is>
      </c>
      <c r="F23" s="191" t="inlineStr">
        <is>
          <t>Sí</t>
        </is>
      </c>
    </row>
    <row r="24" ht="20" customHeight="1">
      <c r="A24" s="185" t="inlineStr">
        <is>
          <t>9.4 Régimen general: ingresos o activos ≥ 4.929.017 UVB</t>
        </is>
      </c>
      <c r="B24" s="193">
        <f>AND(B5="Sociedad, empresa unipersonal o sucursal",B6="Sí",B7="No",OR(B18&gt;=$E$5,B19&gt;=$E$5))</f>
        <v/>
      </c>
      <c r="C24" s="130" t="n"/>
      <c r="D24" s="185" t="inlineStr">
        <is>
          <t>Régimen especial: SAPAC, libranza, multinivel, fondo ganadero o factoring</t>
        </is>
      </c>
      <c r="E24" s="191" t="inlineStr">
        <is>
          <t>Sí</t>
        </is>
      </c>
      <c r="F24" s="190" t="inlineStr">
        <is>
          <t>No</t>
        </is>
      </c>
    </row>
    <row r="25" ht="20" customHeight="1">
      <c r="A25" s="185" t="inlineStr">
        <is>
          <t>9.5.1–9.5.6 Sector obligado: ingresos o activos ≥ 3.696.762 UVB</t>
        </is>
      </c>
      <c r="B25" s="193">
        <f>AND(B5="Sociedad, empresa unipersonal o sucursal",B6="Sí",B7="No",INDEX($E$14:$E$24,MATCH(B9,$D$14:$D$24,0))="Sí",B9&lt;&gt;"Régimen especial: SAPAC, libranza, multinivel, fondo ganadero o factoring",OR(B18&gt;=$E$6,B19&gt;=$E$6))</f>
        <v/>
      </c>
      <c r="C25" s="130" t="n"/>
      <c r="D25" s="130" t="n"/>
      <c r="E25" s="130" t="n"/>
      <c r="F25" s="130" t="n"/>
    </row>
    <row r="26" ht="20" customHeight="1">
      <c r="A26" s="185" t="inlineStr">
        <is>
          <t>9.5.7 Activos virtuales</t>
        </is>
      </c>
      <c r="B26" s="193">
        <f>AND(B5="Sociedad, empresa unipersonal o sucursal",B7="No",OR(B20&gt;=$E$7,AND(B21&gt;=$E$7,OR(B18&gt;=$E$8,B19&gt;=$E$9))))</f>
        <v/>
      </c>
      <c r="C26" s="130" t="n"/>
      <c r="D26" s="194" t="inlineStr">
        <is>
          <t>Los sectores del 9.5 exigen además estar sujetos a vigilancia o control de la Supersociedades; los del 9.6 no. El código 4662 figura en metales y en minero-energético.</t>
        </is>
      </c>
      <c r="E26" s="130" t="n"/>
      <c r="F26" s="130" t="n"/>
    </row>
    <row r="27" ht="20" customHeight="1">
      <c r="A27" s="185" t="inlineStr">
        <is>
          <t>9.5.8 Sectores de supervisión o régimen especial</t>
        </is>
      </c>
      <c r="B27" s="193">
        <f>AND(B5="Sociedad, empresa unipersonal o sucursal",B9="Régimen especial: SAPAC, libranza, multinivel, fondo ganadero o factoring")</f>
        <v/>
      </c>
      <c r="C27" s="130" t="n"/>
      <c r="D27" s="130" t="n"/>
      <c r="E27" s="130" t="n"/>
      <c r="F27" s="130" t="n"/>
    </row>
    <row r="28" ht="20" customHeight="1">
      <c r="A28" s="185" t="inlineStr">
        <is>
          <t>9.5.9 Confecámaras / cámaras con ingresos ordinarios ≥ 4.929.017 UVB</t>
        </is>
      </c>
      <c r="B28" s="193">
        <f>OR(B5="Confecámaras",AND(B5="Cámara de comercio",B18&gt;=$E$5))</f>
        <v/>
      </c>
      <c r="C28" s="130" t="n"/>
      <c r="D28" s="130" t="n"/>
      <c r="E28" s="130" t="n"/>
      <c r="F28" s="130" t="n"/>
    </row>
    <row r="29" ht="20" customHeight="1">
      <c r="A29" s="185" t="inlineStr">
        <is>
          <t>9.6 RMM por sector: ingresos ≥ 369.676 o activos ≥ 616.127 UVB</t>
        </is>
      </c>
      <c r="B29" s="193">
        <f>AND(B5="Sociedad, empresa unipersonal o sucursal",B7="No",INDEX($F$14:$F$24,MATCH(B9,$D$14:$D$24,0))="Sí",OR(B18&gt;=$E$8,B19&gt;=$E$9))</f>
        <v/>
      </c>
      <c r="C29" s="130" t="n"/>
      <c r="D29" s="130" t="n"/>
      <c r="E29" s="130" t="n"/>
      <c r="F29" s="130" t="n"/>
    </row>
    <row r="30" ht="20" customHeight="1">
      <c r="A30" s="185" t="inlineStr">
        <is>
          <t>9.6.6 Cámaras de comercio · RMM</t>
        </is>
      </c>
      <c r="B30" s="193">
        <f>AND(B5="Cámara de comercio",B18&gt;=$E$10,B18&lt;$E$5)</f>
        <v/>
      </c>
      <c r="C30" s="130" t="n"/>
      <c r="D30" s="130" t="n"/>
      <c r="E30" s="130" t="n"/>
      <c r="F30" s="130" t="n"/>
    </row>
    <row r="31">
      <c r="A31" s="130" t="n"/>
      <c r="B31" s="130" t="n"/>
      <c r="C31" s="130" t="n"/>
      <c r="D31" s="130" t="n"/>
      <c r="E31" s="130" t="n"/>
      <c r="F31" s="130" t="n"/>
    </row>
    <row r="32" ht="48" customHeight="1">
      <c r="A32" s="195" t="inlineStr">
        <is>
          <t>RESULTADO</t>
        </is>
      </c>
      <c r="B32" s="196">
        <f>IF(B8="Sí","No obligado: sociedad en liquidación, intervención o sin negocio en marcha (num. 9.23–9.24)",IF(AND(B5="Sociedad, empresa unipersonal o sucursal",B7="Sí"),"No le aplica el Capítulo IX: vigilada por otra entidad con régimen especial",IF(AND(OR(B11="",B11&lt;=0),B5&lt;&gt;"Confecámaras",B9&lt;&gt;"Régimen especial: SAPAC, libranza, multinivel, fondo ganadero o factoring"),"Ingrese el valor de la UVB para calcular",IF(OR(B24,B25,B26,B27,B28),"Sistema de Autocontrol y Gestión LA/FT/FP y C/ST (num. 9.4–9.5)",IF(OR(B29,B30),"Régimen de Medidas Mínimas (RMM) (num. 9.6)","No obligado: se recomienda adopción voluntaria (num. 9.26.3)")))))</f>
        <v/>
      </c>
      <c r="C32" s="130" t="n"/>
      <c r="D32" s="130" t="n"/>
      <c r="E32" s="130" t="n"/>
      <c r="F32" s="130" t="n"/>
    </row>
    <row r="33">
      <c r="A33" s="130" t="n"/>
      <c r="B33" s="197">
        <f>IF(B26,"Por operar con activos virtuales debe aplicar Debida Diligencia Intensificada (num. 9.5.7).","")</f>
        <v/>
      </c>
      <c r="C33" s="130" t="n"/>
      <c r="D33" s="130" t="n"/>
      <c r="E33" s="130" t="n"/>
      <c r="F33" s="130" t="n"/>
    </row>
    <row r="34">
      <c r="A34" s="130" t="n"/>
      <c r="B34" s="130" t="n"/>
      <c r="C34" s="130" t="n"/>
      <c r="D34" s="130" t="n"/>
      <c r="E34" s="130" t="n"/>
      <c r="F34" s="130" t="n"/>
    </row>
    <row r="35" ht="30" customHeight="1">
      <c r="A35" s="198" t="inlineStr">
        <is>
          <t>Si deja de cumplir los umbrales al 31 de diciembre, sigue obligado 2 años más (Sistema) o 1 año más (RMM) (num. 9.30). Los nuevos obligados implementan a más tardar el 31 de mayo del año siguiente (num. 9.28).</t>
        </is>
      </c>
      <c r="B35" s="130" t="n"/>
      <c r="C35" s="130" t="n"/>
      <c r="D35" s="130" t="n"/>
      <c r="E35" s="130" t="n"/>
      <c r="F35" s="130" t="n"/>
    </row>
    <row r="36">
      <c r="A36" s="130" t="n"/>
      <c r="B36" s="130" t="n"/>
      <c r="C36" s="130" t="n"/>
      <c r="D36" s="130" t="n"/>
      <c r="E36" s="130" t="n"/>
      <c r="F36" s="130" t="n"/>
    </row>
  </sheetData>
  <mergeCells count="3">
    <mergeCell ref="D26:F28"/>
    <mergeCell ref="A3:F3"/>
    <mergeCell ref="A35:B36"/>
  </mergeCells>
  <conditionalFormatting sqref="B24">
    <cfRule type="expression" priority="1" dxfId="0">
      <formula>B24=TRUE</formula>
    </cfRule>
  </conditionalFormatting>
  <conditionalFormatting sqref="B25">
    <cfRule type="expression" priority="2" dxfId="0">
      <formula>B25=TRUE</formula>
    </cfRule>
  </conditionalFormatting>
  <conditionalFormatting sqref="B26">
    <cfRule type="expression" priority="3" dxfId="0">
      <formula>B26=TRUE</formula>
    </cfRule>
  </conditionalFormatting>
  <conditionalFormatting sqref="B27">
    <cfRule type="expression" priority="4" dxfId="0">
      <formula>B27=TRUE</formula>
    </cfRule>
  </conditionalFormatting>
  <conditionalFormatting sqref="B28">
    <cfRule type="expression" priority="5" dxfId="0">
      <formula>B28=TRUE</formula>
    </cfRule>
  </conditionalFormatting>
  <conditionalFormatting sqref="B29">
    <cfRule type="expression" priority="6" dxfId="0">
      <formula>B29=TRUE</formula>
    </cfRule>
  </conditionalFormatting>
  <conditionalFormatting sqref="B30">
    <cfRule type="expression" priority="7" dxfId="0">
      <formula>B30=TRUE</formula>
    </cfRule>
  </conditionalFormatting>
  <dataValidations count="4">
    <dataValidation sqref="B11" showDropDown="0" showInputMessage="1" showErrorMessage="1" allowBlank="0" errorTitle="Revise el valor de la UVB" error="Una UVB vale alrededor de 12.000 pesos. No escriba aquí los ingresos ni los activos. ¿Desea mantener el valor?" promptTitle="Valor de una UVB" prompt="Escriba el valor de UNA unidad (aprox. 12.000 pesos), no los ingresos." type="decimal" errorStyle="warning" operator="between">
      <formula1>1000</formula1>
      <formula2>100000</formula2>
    </dataValidation>
    <dataValidation sqref="B5" showDropDown="0" showInputMessage="0" showErrorMessage="0" allowBlank="0" type="list">
      <formula1>=Escala!$H$5:$H$7</formula1>
    </dataValidation>
    <dataValidation sqref="B6:B8" showDropDown="0" showInputMessage="0" showErrorMessage="0" allowBlank="0" type="list">
      <formula1>=Escala!$G$5:$G$6</formula1>
    </dataValidation>
    <dataValidation sqref="B9" showDropDown="0" showInputMessage="0" showErrorMessage="0" allowBlank="0" type="list">
      <formula1>=$D$14:$D$24</formula1>
    </dataValidation>
  </dataValidations>
  <pageMargins left="0.75" right="0.75" top="1" bottom="1" header="0.5" footer="0.5"/>
  <pageSetup fitToHeight="0" fitToWidth="1"/>
  <headerFooter>
    <oddHeader>&amp;L&amp;"Georgia,Bold"&amp;KA12B22Criterio Compliance&amp;R&amp;K57534A&amp;A</oddHeader>
    <oddFooter>&amp;L&amp;8 &amp;K57534Acriteriocompliance.com · Herramienta orientativa: no reemplaza la asesoría profesional&amp;R&amp;8 Pág. &amp;P de &amp;N</oddFooter>
    <evenHeader/>
    <evenFooter/>
    <firstHeader/>
    <firstFooter/>
  </headerFooter>
</worksheet>
</file>

<file path=xl/worksheets/sheet4.xml><?xml version="1.0" encoding="utf-8"?>
<worksheet xmlns="http://schemas.openxmlformats.org/spreadsheetml/2006/main">
  <sheetPr>
    <tabColor rgb="00A12B22"/>
    <outlinePr summaryBelow="1" summaryRight="1"/>
    <pageSetUpPr fitToPage="1"/>
  </sheetPr>
  <dimension ref="A1:R136"/>
  <sheetViews>
    <sheetView showGridLines="0" zoomScale="90" workbookViewId="0">
      <pane xSplit="5" ySplit="6" topLeftCell="F7"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hidden="1" width="20" customWidth="1" min="2" max="2"/>
    <col width="10" customWidth="1" min="3" max="3"/>
    <col width="7" customWidth="1" min="4" max="4"/>
    <col width="56" customWidth="1" min="5" max="5"/>
    <col width="44" customWidth="1" min="6" max="6"/>
    <col width="15" customWidth="1" min="7" max="7"/>
    <col width="6" customWidth="1" min="8" max="8"/>
    <col width="23" customWidth="1" min="9" max="9"/>
    <col width="11" customWidth="1" min="10" max="10"/>
    <col width="32" customWidth="1" min="11" max="11"/>
    <col width="28" customWidth="1" min="12" max="12"/>
    <col width="32" customWidth="1" min="13" max="13"/>
    <col width="15" customWidth="1" min="14" max="14"/>
    <col width="12" customWidth="1" min="15" max="15"/>
    <col width="13" customWidth="1" min="16" max="16"/>
    <col hidden="1" width="8" customWidth="1" min="17" max="17"/>
    <col hidden="1" width="8" customWidth="1" min="18" max="18"/>
  </cols>
  <sheetData>
    <row r="1">
      <c r="A1" s="199" t="inlineStr">
        <is>
          <t>Matriz de cumplimiento · Sistema de Autocontrol y Gestión de Riesgos LA/FT/FP y C/ST</t>
        </is>
      </c>
      <c r="B1" s="130" t="n"/>
      <c r="C1" s="130" t="n"/>
      <c r="D1" s="130" t="n"/>
      <c r="E1" s="130" t="n"/>
      <c r="F1" s="130" t="n"/>
      <c r="G1" s="130" t="n"/>
      <c r="H1" s="130" t="n"/>
      <c r="I1" s="130" t="n"/>
      <c r="J1" s="130" t="n"/>
      <c r="K1" s="130" t="n"/>
      <c r="L1" s="130" t="n"/>
      <c r="M1" s="130" t="n"/>
      <c r="N1" s="130" t="n"/>
      <c r="O1" s="130" t="n"/>
      <c r="P1" s="130" t="n"/>
      <c r="Q1" s="130" t="n"/>
      <c r="R1" s="130" t="n"/>
    </row>
    <row r="2">
      <c r="A2" s="134" t="inlineStr">
        <is>
          <t>Fuente: Circular Externa 100-000020 del 2 de julio de 2026 (Supersociedades), Capítulo IX de la Circular Básica Jurídica · 'Pág.' = página de la Circular · diligencie solo las celdas amarillas.</t>
        </is>
      </c>
      <c r="B2" s="130" t="n"/>
      <c r="C2" s="130" t="n"/>
      <c r="D2" s="130" t="n"/>
      <c r="E2" s="130" t="n"/>
      <c r="F2" s="130" t="n"/>
      <c r="G2" s="130" t="n"/>
      <c r="H2" s="130" t="n"/>
      <c r="I2" s="130" t="n"/>
      <c r="J2" s="130" t="n"/>
      <c r="K2" s="130" t="n"/>
      <c r="L2" s="130" t="n"/>
      <c r="M2" s="130" t="n"/>
      <c r="N2" s="130" t="n"/>
      <c r="O2" s="130" t="n"/>
      <c r="P2" s="130" t="n"/>
      <c r="Q2" s="130" t="n"/>
      <c r="R2" s="130" t="n"/>
    </row>
    <row r="3" ht="26" customHeight="1">
      <c r="A3" s="200">
        <f>"Cumplimiento global: "&amp;IFERROR(TEXT(SUM($R$7:$R$400)/SUM($Q$7:$Q$400),"0%"),"N/A")&amp;"     ·     Requisitos calificados: "&amp;(COUNTIFS($B$7:$B$400,"?*",$I$7:$I$400,"?*")-COUNTIF($I$7:$I$400,"No aplica"))&amp;" de "&amp;(COUNTIF($B$7:$B$400,"?*")-COUNTIF($I$7:$I$400,"No aplica"))&amp;"     ·     Críticos (peso 3) por debajo de 50%: "&amp;COUNTIFS($H$7:$H$400,3,$J$7:$J$400,"&lt;"&amp;0.5)&amp;"     ·     Acciones vencidas sin cerrar: "&amp;COUNTIFS($O$7:$O$400,"&lt;"&amp;TODAY(),$P$7:$P$400,"&lt;&gt;Cerrada")&amp;"     ·     Fechas después del 31/05/2027: "&amp;COUNTIF($O$7:$O$400,"&gt;"&amp;DATE(2027,5,31))</f>
        <v/>
      </c>
      <c r="B3" s="130" t="n"/>
      <c r="C3" s="130" t="n"/>
      <c r="D3" s="130" t="n"/>
      <c r="E3" s="130" t="n"/>
      <c r="F3" s="130" t="n"/>
      <c r="G3" s="130" t="n"/>
      <c r="H3" s="130" t="n"/>
      <c r="I3" s="130" t="n"/>
      <c r="J3" s="130" t="n"/>
      <c r="K3" s="130" t="n"/>
      <c r="L3" s="130" t="n"/>
      <c r="M3" s="130" t="n"/>
      <c r="N3" s="130" t="n"/>
      <c r="O3" s="130" t="n"/>
      <c r="P3" s="130" t="n"/>
      <c r="Q3" s="130" t="n"/>
      <c r="R3" s="130" t="n"/>
    </row>
    <row r="4">
      <c r="A4" s="151" t="inlineStr">
        <is>
          <t>Criterio Compliance · criteriocompliance.com   ·   Herramienta orientativa de autodiagnóstico. No reemplaza la asesoría de un profesional ni constituye una certificación de cumplimiento.</t>
        </is>
      </c>
      <c r="Q4" s="130" t="n"/>
      <c r="R4" s="130" t="n"/>
    </row>
    <row r="5" ht="18" customHeight="1">
      <c r="A5" s="170" t="inlineStr">
        <is>
          <t>REQUISITO DE LA CIRCULAR</t>
        </is>
      </c>
      <c r="B5" s="130" t="n"/>
      <c r="C5" s="130" t="n"/>
      <c r="D5" s="130" t="n"/>
      <c r="E5" s="130" t="n"/>
      <c r="F5" s="130" t="n"/>
      <c r="G5" s="130" t="n"/>
      <c r="H5" s="130" t="n"/>
      <c r="I5" s="201" t="inlineStr">
        <is>
          <t>EVALUACIÓN</t>
        </is>
      </c>
      <c r="J5" s="130" t="n"/>
      <c r="K5" s="183" t="inlineStr">
        <is>
          <t>PLAN DE ACCIÓN</t>
        </is>
      </c>
      <c r="L5" s="130" t="n"/>
      <c r="M5" s="130" t="n"/>
      <c r="N5" s="130" t="n"/>
      <c r="O5" s="130" t="n"/>
      <c r="P5" s="130" t="n"/>
      <c r="Q5" s="130" t="n"/>
      <c r="R5" s="130" t="n"/>
    </row>
    <row r="6" ht="30" customHeight="1">
      <c r="A6" s="202" t="inlineStr">
        <is>
          <t>ID</t>
        </is>
      </c>
      <c r="B6" s="202" t="inlineStr">
        <is>
          <t>Componente</t>
        </is>
      </c>
      <c r="C6" s="202" t="inlineStr">
        <is>
          <t>Numeral</t>
        </is>
      </c>
      <c r="D6" s="202" t="inlineStr">
        <is>
          <t>Pág.</t>
        </is>
      </c>
      <c r="E6" s="202" t="inlineStr">
        <is>
          <t>Requisito</t>
        </is>
      </c>
      <c r="F6" s="202" t="inlineStr">
        <is>
          <t>Cómo se cumple / evidencia esperada</t>
        </is>
      </c>
      <c r="G6" s="202" t="inlineStr">
        <is>
          <t>Responsable</t>
        </is>
      </c>
      <c r="H6" s="202" t="inlineStr">
        <is>
          <t>Peso</t>
        </is>
      </c>
      <c r="I6" s="203" t="inlineStr">
        <is>
          <t>Estado de cumplimiento</t>
        </is>
      </c>
      <c r="J6" s="203" t="inlineStr">
        <is>
          <t>% cumpl.</t>
        </is>
      </c>
      <c r="K6" s="204" t="inlineStr">
        <is>
          <t>Evidencia revisada / justificación</t>
        </is>
      </c>
      <c r="L6" s="204" t="inlineStr">
        <is>
          <t>Brecha identificada</t>
        </is>
      </c>
      <c r="M6" s="204" t="inlineStr">
        <is>
          <t>Acción de mejora</t>
        </is>
      </c>
      <c r="N6" s="204" t="inlineStr">
        <is>
          <t>Responsable</t>
        </is>
      </c>
      <c r="O6" s="204" t="inlineStr">
        <is>
          <t>Fecha compromiso</t>
        </is>
      </c>
      <c r="P6" s="204" t="inlineStr">
        <is>
          <t>Estado de la acción</t>
        </is>
      </c>
      <c r="Q6" s="205" t="inlineStr">
        <is>
          <t>Peso aplicable</t>
        </is>
      </c>
      <c r="R6" s="205" t="inlineStr">
        <is>
          <t>Puntaje</t>
        </is>
      </c>
    </row>
    <row r="7" ht="24" customHeight="1">
      <c r="A7" s="206" t="inlineStr">
        <is>
          <t>01  ·  Diseño y aprobación del Sistema     (6 requisitos)</t>
        </is>
      </c>
      <c r="B7" s="207" t="n"/>
      <c r="C7" s="207" t="n"/>
      <c r="D7" s="207" t="n"/>
      <c r="E7" s="207" t="n"/>
      <c r="F7" s="207" t="n"/>
      <c r="G7" s="207" t="n"/>
      <c r="H7" s="207" t="n"/>
      <c r="I7" s="208" t="n"/>
      <c r="J7" s="209">
        <f>IFERROR(SUMIFS($R$7:$R$400,$B$7:$B$400,"01. Diseño y aprobación del Sistema")/SUMIFS($Q$7:$Q$400,$B$7:$B$400,"01. Diseño y aprobación del Sistema"),"N/A")</f>
        <v/>
      </c>
      <c r="K7" s="208" t="n"/>
      <c r="L7" s="208" t="n"/>
      <c r="M7" s="208" t="n"/>
      <c r="N7" s="208" t="n"/>
      <c r="O7" s="208" t="n"/>
      <c r="P7" s="208" t="n"/>
      <c r="Q7" s="130" t="n"/>
      <c r="R7" s="130" t="n"/>
    </row>
    <row r="8" ht="62" customHeight="1">
      <c r="A8" s="210" t="inlineStr">
        <is>
          <t>S-01</t>
        </is>
      </c>
      <c r="B8" s="211" t="inlineStr">
        <is>
          <t>01. Diseño y aprobación del Sistema</t>
        </is>
      </c>
      <c r="C8" s="212" t="inlineStr">
        <is>
          <t>9.7</t>
        </is>
      </c>
      <c r="D8" s="213" t="inlineStr">
        <is>
          <t>173</t>
        </is>
      </c>
      <c r="E8" s="214" t="inlineStr">
        <is>
          <t>Contar con un único Sistema de Autocontrol y Gestión de Riesgos LA/FT/FP y C/ST que comprenda una política y un manual de procedimientos.</t>
        </is>
      </c>
      <c r="F8" s="215" t="inlineStr">
        <is>
          <t>Política y manual únicos que integren LA, FT, FPADM, corrupción local y soborno transnacional (ya no SAGRILAFT y PTEE por separado). Revisar versión vigente y control de cambios.</t>
        </is>
      </c>
      <c r="G8" s="216" t="inlineStr">
        <is>
          <t>Sujeto obligado / OC</t>
        </is>
      </c>
      <c r="H8" s="217" t="n">
        <v>3</v>
      </c>
      <c r="I8" s="218" t="inlineStr">
        <is>
          <t>Cumple parcialmente</t>
        </is>
      </c>
      <c r="J8" s="219">
        <f>IF(I8="","",IF(I8="No aplica","N/A",INDEX(Escala!$C$5:$C$9,MATCH(I8,Escala!$B$5:$B$9,0))))</f>
        <v/>
      </c>
      <c r="K8" s="146" t="inlineStr">
        <is>
          <t>SAGRILAFT y PTEE vigentes como documentos separados (aprobados en 2023). Política Integral v1.0 en borrador.</t>
        </is>
      </c>
      <c r="L8" s="146" t="inlineStr">
        <is>
          <t>El Sistema aún no está unificado en una política y un manual únicos.</t>
        </is>
      </c>
      <c r="M8" s="146" t="inlineStr">
        <is>
          <t>Aprobar la Política Integral y el Manual unificado en Junta.</t>
        </is>
      </c>
      <c r="N8" s="146" t="inlineStr">
        <is>
          <t>Oficial de Cumplimiento</t>
        </is>
      </c>
      <c r="O8" s="220" t="n">
        <v>46477</v>
      </c>
      <c r="P8" s="218" t="inlineStr">
        <is>
          <t>Pendiente</t>
        </is>
      </c>
      <c r="Q8" s="221">
        <f>IF(I8="No aplica",0,H8)</f>
        <v/>
      </c>
      <c r="R8" s="221">
        <f>IF(ISNUMBER(J8),J8*H8,0)</f>
        <v/>
      </c>
    </row>
    <row r="9" ht="36" customHeight="1">
      <c r="A9" s="210" t="inlineStr">
        <is>
          <t>S-02</t>
        </is>
      </c>
      <c r="B9" s="211" t="inlineStr">
        <is>
          <t>01. Diseño y aprobación del Sistema</t>
        </is>
      </c>
      <c r="C9" s="212" t="inlineStr">
        <is>
          <t>9.7</t>
        </is>
      </c>
      <c r="D9" s="213" t="inlineStr">
        <is>
          <t>173</t>
        </is>
      </c>
      <c r="E9" s="214" t="inlineStr">
        <is>
          <t>El compromiso de los altos directivos debe constar en la política del Sistema.</t>
        </is>
      </c>
      <c r="F9" s="215" t="inlineStr">
        <is>
          <t>Declaración de compromiso de la alta dirección incluida en el texto de la política aprobada.</t>
        </is>
      </c>
      <c r="G9" s="216" t="inlineStr">
        <is>
          <t>Junta Directiva / RL</t>
        </is>
      </c>
      <c r="H9" s="217" t="n">
        <v>2</v>
      </c>
      <c r="I9" s="218" t="inlineStr">
        <is>
          <t>No cumple</t>
        </is>
      </c>
      <c r="J9" s="219">
        <f>IF(I9="","",IF(I9="No aplica","N/A",INDEX(Escala!$C$5:$C$9,MATCH(I9,Escala!$B$5:$B$9,0))))</f>
        <v/>
      </c>
      <c r="K9" s="146" t="inlineStr">
        <is>
          <t>Las políticas actuales no incluyen una declaración de compromiso firmada.</t>
        </is>
      </c>
      <c r="L9" s="146" t="inlineStr">
        <is>
          <t>Falta la declaración de la alta dirección.</t>
        </is>
      </c>
      <c r="M9" s="146" t="inlineStr">
        <is>
          <t>Incluir en la Política Integral la declaración firmada por el Presidente de Junta y el RL.</t>
        </is>
      </c>
      <c r="N9" s="146" t="inlineStr">
        <is>
          <t>Representante Legal</t>
        </is>
      </c>
      <c r="O9" s="220" t="n">
        <v>46477</v>
      </c>
      <c r="P9" s="218" t="inlineStr">
        <is>
          <t>Pendiente</t>
        </is>
      </c>
      <c r="Q9" s="221">
        <f>IF(I9="No aplica",0,H9)</f>
        <v/>
      </c>
      <c r="R9" s="221">
        <f>IF(ISNUMBER(J9),J9*H9,0)</f>
        <v/>
      </c>
    </row>
    <row r="10" ht="62" customHeight="1">
      <c r="A10" s="210" t="inlineStr">
        <is>
          <t>S-03</t>
        </is>
      </c>
      <c r="B10" s="211" t="inlineStr">
        <is>
          <t>01. Diseño y aprobación del Sistema</t>
        </is>
      </c>
      <c r="C10" s="212" t="inlineStr">
        <is>
          <t>9.7.1</t>
        </is>
      </c>
      <c r="D10" s="213" t="inlineStr">
        <is>
          <t>173-174</t>
        </is>
      </c>
      <c r="E10" s="214" t="inlineStr">
        <is>
          <t>Diseñar el Sistema según los riesgos propios y su materialidad: sector, actividad, jurisdicción, zonas geográficas, terceros, contratistas, intermediarios, canales, asesores, consultores y contratos estatales nacionales y extranjeros.</t>
        </is>
      </c>
      <c r="F10" s="215" t="inlineStr">
        <is>
          <t>Diagnóstico de contexto que analice cada aspecto listado y sirva de insumo a la matriz de riesgos.</t>
        </is>
      </c>
      <c r="G10" s="216" t="inlineStr">
        <is>
          <t>Oficial de Cumplimiento</t>
        </is>
      </c>
      <c r="H10" s="217" t="n">
        <v>3</v>
      </c>
      <c r="I10" s="218" t="inlineStr">
        <is>
          <t>Cumple parcialmente</t>
        </is>
      </c>
      <c r="J10" s="219">
        <f>IF(I10="","",IF(I10="No aplica","N/A",INDEX(Escala!$C$5:$C$9,MATCH(I10,Escala!$B$5:$B$9,0))))</f>
        <v/>
      </c>
      <c r="K10" s="146" t="inlineStr">
        <is>
          <t>Diagnóstico de contexto de 2023: sector, jurisdicciones y clientes.</t>
        </is>
      </c>
      <c r="L10" s="146" t="inlineStr">
        <is>
          <t>No analiza agentes de carga, intermediarios ni contratos estatales.</t>
        </is>
      </c>
      <c r="M10" s="146" t="inlineStr">
        <is>
          <t>Actualizar el diagnóstico con los factores logísticos y la contratación estatal.</t>
        </is>
      </c>
      <c r="N10" s="146" t="inlineStr">
        <is>
          <t>Oficial de Cumplimiento</t>
        </is>
      </c>
      <c r="O10" s="220" t="n">
        <v>46371</v>
      </c>
      <c r="P10" s="218" t="inlineStr">
        <is>
          <t>Pendiente</t>
        </is>
      </c>
      <c r="Q10" s="221">
        <f>IF(I10="No aplica",0,H10)</f>
        <v/>
      </c>
      <c r="R10" s="221">
        <f>IF(ISNUMBER(J10),J10*H10,0)</f>
        <v/>
      </c>
    </row>
    <row r="11" ht="49" customHeight="1">
      <c r="A11" s="210" t="inlineStr">
        <is>
          <t>S-04</t>
        </is>
      </c>
      <c r="B11" s="211" t="inlineStr">
        <is>
          <t>01. Diseño y aprobación del Sistema</t>
        </is>
      </c>
      <c r="C11" s="212" t="inlineStr">
        <is>
          <t>9.7.1</t>
        </is>
      </c>
      <c r="D11" s="213" t="inlineStr">
        <is>
          <t>174</t>
        </is>
      </c>
      <c r="E11" s="214" t="inlineStr">
        <is>
          <t>Evitar el 'paper compliance': procedimientos y políticas ajustados a la realidad del Sujeto Obligado, no copias de otros sistemas.</t>
        </is>
      </c>
      <c r="F11" s="215" t="inlineStr">
        <is>
          <t>Los procedimientos citan procesos, cargos y sistemas reales de la empresa; hay registros operativos que prueban su aplicación.</t>
        </is>
      </c>
      <c r="G11" s="216" t="inlineStr">
        <is>
          <t>OC / Junta Directiva</t>
        </is>
      </c>
      <c r="H11" s="217" t="n">
        <v>3</v>
      </c>
      <c r="I11" s="218" t="inlineStr">
        <is>
          <t>Cumple en gran medida</t>
        </is>
      </c>
      <c r="J11" s="219">
        <f>IF(I11="","",IF(I11="No aplica","N/A",INDEX(Escala!$C$5:$C$9,MATCH(I11,Escala!$B$5:$B$9,0))))</f>
        <v/>
      </c>
      <c r="K11" s="146" t="inlineStr">
        <is>
          <t>Los procedimientos citan los procesos de acopio, comercio exterior y tesorería.</t>
        </is>
      </c>
      <c r="L11" s="146" t="inlineStr">
        <is>
          <t>Dos capítulos del PTEE conservan texto de plantilla genérica.</t>
        </is>
      </c>
      <c r="M11" s="146" t="inlineStr">
        <is>
          <t>Reescribir esos capítulos durante la unificación.</t>
        </is>
      </c>
      <c r="N11" s="146" t="inlineStr">
        <is>
          <t>Oficial de Cumplimiento</t>
        </is>
      </c>
      <c r="O11" s="220" t="n">
        <v>46477</v>
      </c>
      <c r="P11" s="218" t="inlineStr">
        <is>
          <t>Pendiente</t>
        </is>
      </c>
      <c r="Q11" s="221">
        <f>IF(I11="No aplica",0,H11)</f>
        <v/>
      </c>
      <c r="R11" s="221">
        <f>IF(ISNUMBER(J11),J11*H11,0)</f>
        <v/>
      </c>
    </row>
    <row r="12" ht="49" customHeight="1">
      <c r="A12" s="210" t="inlineStr">
        <is>
          <t>S-05</t>
        </is>
      </c>
      <c r="B12" s="211" t="inlineStr">
        <is>
          <t>01. Diseño y aprobación del Sistema</t>
        </is>
      </c>
      <c r="C12" s="212" t="inlineStr">
        <is>
          <t>9.7.1</t>
        </is>
      </c>
      <c r="D12" s="213" t="inlineStr">
        <is>
          <t>174</t>
        </is>
      </c>
      <c r="E12" s="214" t="inlineStr">
        <is>
          <t>El Sistema se materializa en los procesos propios como un 'sistema vivo' para prevenir, detectar y corregir.</t>
        </is>
      </c>
      <c r="F12" s="215" t="inlineStr">
        <is>
          <t>Controles LA/FT/FP y C/ST incorporados en los procedimientos de compras, ventas, talento humano, tesorería, etc.</t>
        </is>
      </c>
      <c r="G12" s="216" t="inlineStr">
        <is>
          <t>RL / dueños de proceso</t>
        </is>
      </c>
      <c r="H12" s="217" t="n">
        <v>2</v>
      </c>
      <c r="I12" s="218" t="inlineStr">
        <is>
          <t>Cumple parcialmente</t>
        </is>
      </c>
      <c r="J12" s="219">
        <f>IF(I12="","",IF(I12="No aplica","N/A",INDEX(Escala!$C$5:$C$9,MATCH(I12,Escala!$B$5:$B$9,0))))</f>
        <v/>
      </c>
      <c r="K12" s="146" t="inlineStr">
        <is>
          <t>Controles incorporados en compras de fruta y tesorería.</t>
        </is>
      </c>
      <c r="L12" s="146" t="inlineStr">
        <is>
          <t>Los procedimientos de logística y de selección de personal no incluyen controles.</t>
        </is>
      </c>
      <c r="M12" s="146" t="inlineStr">
        <is>
          <t>Incluir controles en el llenado de contenedores y en la selección de personal.</t>
        </is>
      </c>
      <c r="N12" s="146" t="inlineStr">
        <is>
          <t>Jefe de Logística</t>
        </is>
      </c>
      <c r="O12" s="220" t="n">
        <v>46446</v>
      </c>
      <c r="P12" s="218" t="inlineStr">
        <is>
          <t>Pendiente</t>
        </is>
      </c>
      <c r="Q12" s="221">
        <f>IF(I12="No aplica",0,H12)</f>
        <v/>
      </c>
      <c r="R12" s="221">
        <f>IF(ISNUMBER(J12),J12*H12,0)</f>
        <v/>
      </c>
    </row>
    <row r="13" ht="36" customHeight="1">
      <c r="A13" s="210" t="inlineStr">
        <is>
          <t>S-06</t>
        </is>
      </c>
      <c r="B13" s="211" t="inlineStr">
        <is>
          <t>01. Diseño y aprobación del Sistema</t>
        </is>
      </c>
      <c r="C13" s="212" t="inlineStr">
        <is>
          <t>9.7.1</t>
        </is>
      </c>
      <c r="D13" s="213" t="inlineStr">
        <is>
          <t>174</t>
        </is>
      </c>
      <c r="E13" s="214" t="inlineStr">
        <is>
          <t>Precisar por escrito las responsabilidades de administradores, Oficial de Cumplimiento y demás órganos.</t>
        </is>
      </c>
      <c r="F13" s="215" t="inlineStr">
        <is>
          <t>Capítulo de roles y responsabilidades en el manual; descripciones de cargo actualizadas.</t>
        </is>
      </c>
      <c r="G13" s="216" t="inlineStr">
        <is>
          <t>Junta Directiva / RL</t>
        </is>
      </c>
      <c r="H13" s="217" t="n">
        <v>2</v>
      </c>
      <c r="I13" s="218" t="inlineStr">
        <is>
          <t>Cumple en gran medida</t>
        </is>
      </c>
      <c r="J13" s="219">
        <f>IF(I13="","",IF(I13="No aplica","N/A",INDEX(Escala!$C$5:$C$9,MATCH(I13,Escala!$B$5:$B$9,0))))</f>
        <v/>
      </c>
      <c r="K13" s="146" t="inlineStr">
        <is>
          <t>El manual SAGRILAFT define roles y responsabilidades.</t>
        </is>
      </c>
      <c r="L13" s="146" t="inlineStr">
        <is>
          <t>La descripción de cargo del OC no incluye funciones de C/ST.</t>
        </is>
      </c>
      <c r="M13" s="146" t="inlineStr">
        <is>
          <t>Actualizar las descripciones de cargo.</t>
        </is>
      </c>
      <c r="N13" s="146" t="inlineStr">
        <is>
          <t>Talento Humano</t>
        </is>
      </c>
      <c r="O13" s="220" t="n">
        <v>46418</v>
      </c>
      <c r="P13" s="218" t="inlineStr">
        <is>
          <t>Pendiente</t>
        </is>
      </c>
      <c r="Q13" s="221">
        <f>IF(I13="No aplica",0,H13)</f>
        <v/>
      </c>
      <c r="R13" s="221">
        <f>IF(ISNUMBER(J13),J13*H13,0)</f>
        <v/>
      </c>
    </row>
    <row r="14" ht="24" customHeight="1">
      <c r="A14" s="206" t="inlineStr">
        <is>
          <t>02  ·  Políticas mínimas     (10 requisitos)</t>
        </is>
      </c>
      <c r="B14" s="207" t="n"/>
      <c r="C14" s="207" t="n"/>
      <c r="D14" s="207" t="n"/>
      <c r="E14" s="207" t="n"/>
      <c r="F14" s="207" t="n"/>
      <c r="G14" s="207" t="n"/>
      <c r="H14" s="207" t="n"/>
      <c r="I14" s="208" t="n"/>
      <c r="J14" s="209">
        <f>IFERROR(SUMIFS($R$7:$R$400,$B$7:$B$400,"02. Políticas mínimas")/SUMIFS($Q$7:$Q$400,$B$7:$B$400,"02. Políticas mínimas"),"N/A")</f>
        <v/>
      </c>
      <c r="K14" s="208" t="n"/>
      <c r="L14" s="208" t="n"/>
      <c r="M14" s="208" t="n"/>
      <c r="N14" s="208" t="n"/>
      <c r="O14" s="208" t="n"/>
      <c r="P14" s="208" t="n"/>
      <c r="Q14" s="130" t="n"/>
      <c r="R14" s="130" t="n"/>
    </row>
    <row r="15" ht="49" customHeight="1">
      <c r="A15" s="210" t="inlineStr">
        <is>
          <t>S-07</t>
        </is>
      </c>
      <c r="B15" s="211" t="inlineStr">
        <is>
          <t>02. Políticas mínimas</t>
        </is>
      </c>
      <c r="C15" s="212" t="inlineStr">
        <is>
          <t>9.7.2 a</t>
        </is>
      </c>
      <c r="D15" s="213" t="inlineStr">
        <is>
          <t>174-175</t>
        </is>
      </c>
      <c r="E15" s="214" t="inlineStr">
        <is>
          <t>Política de regalos o beneficios a terceros (obsequios, entretenimiento, objetos de valor) con montos mínimos y máximos permitidos, controles y sanciones.</t>
        </is>
      </c>
      <c r="F15" s="215" t="inlineStr">
        <is>
          <t>Política aprobada con topes definidos, registro de regalos dados/recibidos, controles y régimen sancionatorio (Ley 599/2000 y Ley 1474/2011).</t>
        </is>
      </c>
      <c r="G15" s="216" t="inlineStr">
        <is>
          <t>OC / RL</t>
        </is>
      </c>
      <c r="H15" s="217" t="n">
        <v>3</v>
      </c>
      <c r="I15" s="218" t="inlineStr">
        <is>
          <t>Cumple en gran medida</t>
        </is>
      </c>
      <c r="J15" s="219">
        <f>IF(I15="","",IF(I15="No aplica","N/A",INDEX(Escala!$C$5:$C$9,MATCH(I15,Escala!$B$5:$B$9,0))))</f>
        <v/>
      </c>
      <c r="K15" s="146" t="inlineStr">
        <is>
          <t>Política de regalos del PTEE con tope de 10 UVB y registro.</t>
        </is>
      </c>
      <c r="L15" s="146" t="inlineStr">
        <is>
          <t>No fija monto mínimo; el registro no se revisa periódicamente.</t>
        </is>
      </c>
      <c r="M15" s="146" t="inlineStr">
        <is>
          <t>Definir monto mínimo y revisión trimestral del registro.</t>
        </is>
      </c>
      <c r="N15" s="146" t="inlineStr">
        <is>
          <t>Oficial de Cumplimiento</t>
        </is>
      </c>
      <c r="O15" s="220" t="n">
        <v>46418</v>
      </c>
      <c r="P15" s="218" t="inlineStr">
        <is>
          <t>Pendiente</t>
        </is>
      </c>
      <c r="Q15" s="221">
        <f>IF(I15="No aplica",0,H15)</f>
        <v/>
      </c>
      <c r="R15" s="221">
        <f>IF(ISNUMBER(J15),J15*H15,0)</f>
        <v/>
      </c>
    </row>
    <row r="16" ht="62" customHeight="1">
      <c r="A16" s="210" t="inlineStr">
        <is>
          <t>S-08</t>
        </is>
      </c>
      <c r="B16" s="211" t="inlineStr">
        <is>
          <t>02. Políticas mínimas</t>
        </is>
      </c>
      <c r="C16" s="212" t="inlineStr">
        <is>
          <t>9.7.2 b</t>
        </is>
      </c>
      <c r="D16" s="213" t="inlineStr">
        <is>
          <t>175</t>
        </is>
      </c>
      <c r="E16" s="214" t="inlineStr">
        <is>
          <t>Política de gastos de alimentación, hospedaje y viajes: procedimiento para recibir y otorgar, regulación de efectivo, tarjetas, bonos y transferencias, seguimiento, controles y sanciones.</t>
        </is>
      </c>
      <c r="F16" s="215" t="inlineStr">
        <is>
          <t>Procedimiento aprobado; formatos de solicitud y legalización; evidencia de controles en tesorería.</t>
        </is>
      </c>
      <c r="G16" s="216" t="inlineStr">
        <is>
          <t>OC / Área financiera</t>
        </is>
      </c>
      <c r="H16" s="217" t="n">
        <v>2</v>
      </c>
      <c r="I16" s="218" t="inlineStr">
        <is>
          <t>Cumple parcialmente</t>
        </is>
      </c>
      <c r="J16" s="219">
        <f>IF(I16="","",IF(I16="No aplica","N/A",INDEX(Escala!$C$5:$C$9,MATCH(I16,Escala!$B$5:$B$9,0))))</f>
        <v/>
      </c>
      <c r="K16" s="146" t="inlineStr">
        <is>
          <t>Procedimiento de legalización de viáticos de tesorería.</t>
        </is>
      </c>
      <c r="L16" s="146" t="inlineStr">
        <is>
          <t>No regula hospitalidad a terceros ni el uso de bonos o efectivo.</t>
        </is>
      </c>
      <c r="M16" s="146" t="inlineStr">
        <is>
          <t>Incorporar la política de gastos y hospitalidad en la Política Integral.</t>
        </is>
      </c>
      <c r="N16" s="146" t="inlineStr">
        <is>
          <t>Director Financiero</t>
        </is>
      </c>
      <c r="O16" s="220" t="n">
        <v>46418</v>
      </c>
      <c r="P16" s="218" t="inlineStr">
        <is>
          <t>Pendiente</t>
        </is>
      </c>
      <c r="Q16" s="221">
        <f>IF(I16="No aplica",0,H16)</f>
        <v/>
      </c>
      <c r="R16" s="221">
        <f>IF(ISNUMBER(J16),J16*H16,0)</f>
        <v/>
      </c>
    </row>
    <row r="17" ht="75" customHeight="1">
      <c r="A17" s="210" t="inlineStr">
        <is>
          <t>S-09</t>
        </is>
      </c>
      <c r="B17" s="211" t="inlineStr">
        <is>
          <t>02. Políticas mínimas</t>
        </is>
      </c>
      <c r="C17" s="212" t="inlineStr">
        <is>
          <t>9.7.2 c</t>
        </is>
      </c>
      <c r="D17" s="213" t="inlineStr">
        <is>
          <t>175</t>
        </is>
      </c>
      <c r="E17" s="214" t="inlineStr">
        <is>
          <t>Política de contribuciones políticas: prohibición o procedimiento, debida diligencia a candidatos/partidos, reporte interno de participación de directivos y colaboradores, conflictos de interés en contratación pública y formatos de solicitud y entrega.</t>
        </is>
      </c>
      <c r="F17" s="215" t="inlineStr">
        <is>
          <t>Política aprobada (o prohibición expresa); formatos de solicitud/entrega y de reporte de participación; DD si hay aportes.</t>
        </is>
      </c>
      <c r="G17" s="216" t="inlineStr">
        <is>
          <t>Junta Directiva / OC</t>
        </is>
      </c>
      <c r="H17" s="217" t="n">
        <v>3</v>
      </c>
      <c r="I17" s="218" t="inlineStr">
        <is>
          <t>No cumple</t>
        </is>
      </c>
      <c r="J17" s="219">
        <f>IF(I17="","",IF(I17="No aplica","N/A",INDEX(Escala!$C$5:$C$9,MATCH(I17,Escala!$B$5:$B$9,0))))</f>
        <v/>
      </c>
      <c r="K17" s="146" t="inlineStr">
        <is>
          <t>No existe política de contribuciones políticas.</t>
        </is>
      </c>
      <c r="L17" s="146" t="inlineStr">
        <is>
          <t>Falta prohibición o procedimiento y formato de reporte para directivos.</t>
        </is>
      </c>
      <c r="M17" s="146" t="inlineStr">
        <is>
          <t>Adoptar prohibición expresa y formato de reporte de aportes personales.</t>
        </is>
      </c>
      <c r="N17" s="146" t="inlineStr">
        <is>
          <t>Oficial de Cumplimiento</t>
        </is>
      </c>
      <c r="O17" s="220" t="n">
        <v>46418</v>
      </c>
      <c r="P17" s="218" t="inlineStr">
        <is>
          <t>Pendiente</t>
        </is>
      </c>
      <c r="Q17" s="221">
        <f>IF(I17="No aplica",0,H17)</f>
        <v/>
      </c>
      <c r="R17" s="221">
        <f>IF(ISNUMBER(J17),J17*H17,0)</f>
        <v/>
      </c>
    </row>
    <row r="18" ht="62" customHeight="1">
      <c r="A18" s="210" t="inlineStr">
        <is>
          <t>S-10</t>
        </is>
      </c>
      <c r="B18" s="211" t="inlineStr">
        <is>
          <t>02. Políticas mínimas</t>
        </is>
      </c>
      <c r="C18" s="212" t="inlineStr">
        <is>
          <t>9.7.2 d</t>
        </is>
      </c>
      <c r="D18" s="213" t="inlineStr">
        <is>
          <t>175-176</t>
        </is>
      </c>
      <c r="E18" s="214" t="inlineStr">
        <is>
          <t>Política de donaciones, patrocinios o contribuciones (dinero o especie): prohibición o procedimiento, formato y trámite, área responsable de DD y aprobación, desembolso, seguimiento a la ejecución, controles y sanciones.</t>
        </is>
      </c>
      <c r="F18" s="215" t="inlineStr">
        <is>
          <t>Política aprobada; formato de solicitud; DD al beneficiario; soportes del destino de los recursos.</t>
        </is>
      </c>
      <c r="G18" s="216" t="inlineStr">
        <is>
          <t>OC / RL</t>
        </is>
      </c>
      <c r="H18" s="217" t="n">
        <v>2</v>
      </c>
      <c r="I18" s="218" t="inlineStr">
        <is>
          <t>Cumple parcialmente</t>
        </is>
      </c>
      <c r="J18" s="219">
        <f>IF(I18="","",IF(I18="No aplica","N/A",INDEX(Escala!$C$5:$C$9,MATCH(I18,Escala!$B$5:$B$9,0))))</f>
        <v/>
      </c>
      <c r="K18" s="146" t="inlineStr">
        <is>
          <t>Donaciones de fruta no exportable a un banco de alimentos, con acta de entrega.</t>
        </is>
      </c>
      <c r="L18" s="146" t="inlineStr">
        <is>
          <t>Sin formato de solicitud, debida diligencia al beneficiario ni seguimiento del destino.</t>
        </is>
      </c>
      <c r="M18" s="146" t="inlineStr">
        <is>
          <t>Implementar formato de solicitud y DD de beneficiarios.</t>
        </is>
      </c>
      <c r="N18" s="146" t="inlineStr">
        <is>
          <t>Oficial de Cumplimiento</t>
        </is>
      </c>
      <c r="O18" s="220" t="n">
        <v>46418</v>
      </c>
      <c r="P18" s="218" t="inlineStr">
        <is>
          <t>Pendiente</t>
        </is>
      </c>
      <c r="Q18" s="221">
        <f>IF(I18="No aplica",0,H18)</f>
        <v/>
      </c>
      <c r="R18" s="221">
        <f>IF(ISNUMBER(J18),J18*H18,0)</f>
        <v/>
      </c>
    </row>
    <row r="19" ht="49" customHeight="1">
      <c r="A19" s="210" t="inlineStr">
        <is>
          <t>S-11</t>
        </is>
      </c>
      <c r="B19" s="211" t="inlineStr">
        <is>
          <t>02. Políticas mínimas</t>
        </is>
      </c>
      <c r="C19" s="212" t="inlineStr">
        <is>
          <t>9.7.2 d</t>
        </is>
      </c>
      <c r="D19" s="213" t="inlineStr">
        <is>
          <t>176</t>
        </is>
      </c>
      <c r="E19" s="214" t="inlineStr">
        <is>
          <t>Si se financia mediante crowdfunding: asegurar la licitud de los recursos y su destino.</t>
        </is>
      </c>
      <c r="F19" s="215" t="inlineStr">
        <is>
          <t>Procedimiento de verificación de origen y destino de fondos captados (marcar 'No aplica' si no usa crowdfunding).</t>
        </is>
      </c>
      <c r="G19" s="216" t="inlineStr">
        <is>
          <t>Área financiera / OC</t>
        </is>
      </c>
      <c r="H19" s="217" t="n">
        <v>1</v>
      </c>
      <c r="I19" s="218" t="inlineStr">
        <is>
          <t>No aplica</t>
        </is>
      </c>
      <c r="J19" s="219">
        <f>IF(I19="","",IF(I19="No aplica","N/A",INDEX(Escala!$C$5:$C$9,MATCH(I19,Escala!$B$5:$B$9,0))))</f>
        <v/>
      </c>
      <c r="K19" s="146" t="inlineStr">
        <is>
          <t>La Empresa no se financia con crowdfunding (certificación del Director Financiero, octubre de 2026).</t>
        </is>
      </c>
      <c r="L19" s="146" t="n"/>
      <c r="M19" s="146" t="n"/>
      <c r="N19" s="146" t="n"/>
      <c r="O19" s="220" t="n"/>
      <c r="P19" s="218" t="n"/>
      <c r="Q19" s="221">
        <f>IF(I19="No aplica",0,H19)</f>
        <v/>
      </c>
      <c r="R19" s="221">
        <f>IF(ISNUMBER(J19),J19*H19,0)</f>
        <v/>
      </c>
    </row>
    <row r="20" ht="49" customHeight="1">
      <c r="A20" s="210" t="inlineStr">
        <is>
          <t>S-12</t>
        </is>
      </c>
      <c r="B20" s="211" t="inlineStr">
        <is>
          <t>02. Políticas mínimas</t>
        </is>
      </c>
      <c r="C20" s="212" t="inlineStr">
        <is>
          <t>9.7.2 e</t>
        </is>
      </c>
      <c r="D20" s="213" t="inlineStr">
        <is>
          <t>176</t>
        </is>
      </c>
      <c r="E20" s="214" t="inlineStr">
        <is>
          <t>Política de lobby o cabildeo que plasme la transparencia y regule su ejercicio (Guía OCDE de lobistas).</t>
        </is>
      </c>
      <c r="F20" s="215" t="inlineStr">
        <is>
          <t>Política aprobada y registro de gestiones ante autoridades públicas, o declaración expresa de que no se realiza lobby.</t>
        </is>
      </c>
      <c r="G20" s="216" t="inlineStr">
        <is>
          <t>Junta Directiva / OC</t>
        </is>
      </c>
      <c r="H20" s="217" t="n">
        <v>2</v>
      </c>
      <c r="I20" s="218" t="inlineStr">
        <is>
          <t>No cumple</t>
        </is>
      </c>
      <c r="J20" s="219">
        <f>IF(I20="","",IF(I20="No aplica","N/A",INDEX(Escala!$C$5:$C$9,MATCH(I20,Escala!$B$5:$B$9,0))))</f>
        <v/>
      </c>
      <c r="K20" s="146" t="inlineStr">
        <is>
          <t>No existe política; la Empresa participa en mesas de admisibilidad fitosanitaria a través del gremio.</t>
        </is>
      </c>
      <c r="L20" s="146" t="inlineStr">
        <is>
          <t>Las gestiones ante autoridades no se registran.</t>
        </is>
      </c>
      <c r="M20" s="146" t="inlineStr">
        <is>
          <t>Adoptar política de lobby y registro de reuniones.</t>
        </is>
      </c>
      <c r="N20" s="146" t="inlineStr">
        <is>
          <t>Representante Legal</t>
        </is>
      </c>
      <c r="O20" s="220" t="n">
        <v>46446</v>
      </c>
      <c r="P20" s="218" t="inlineStr">
        <is>
          <t>Pendiente</t>
        </is>
      </c>
      <c r="Q20" s="221">
        <f>IF(I20="No aplica",0,H20)</f>
        <v/>
      </c>
      <c r="R20" s="221">
        <f>IF(ISNUMBER(J20),J20*H20,0)</f>
        <v/>
      </c>
    </row>
    <row r="21" ht="49" customHeight="1">
      <c r="A21" s="210" t="inlineStr">
        <is>
          <t>S-13</t>
        </is>
      </c>
      <c r="B21" s="211" t="inlineStr">
        <is>
          <t>02. Políticas mínimas</t>
        </is>
      </c>
      <c r="C21" s="212" t="inlineStr">
        <is>
          <t>9.7.2 f</t>
        </is>
      </c>
      <c r="D21" s="213" t="inlineStr">
        <is>
          <t>176</t>
        </is>
      </c>
      <c r="E21" s="214" t="inlineStr">
        <is>
          <t>Política de prevención de la financiación de la proliferación de armas de destrucción masiva, con alertas en operaciones (incluye bienes de uso dual).</t>
        </is>
      </c>
      <c r="F21" s="215" t="inlineStr">
        <is>
          <t>Política FPADM aprobada; consulta de listas del Consejo de Seguridad ONU; alertas de uso dual en productos, clientes y rutas.</t>
        </is>
      </c>
      <c r="G21" s="216" t="inlineStr">
        <is>
          <t>Oficial de Cumplimiento</t>
        </is>
      </c>
      <c r="H21" s="217" t="n">
        <v>3</v>
      </c>
      <c r="I21" s="218" t="inlineStr">
        <is>
          <t>Cumple parcialmente</t>
        </is>
      </c>
      <c r="J21" s="219">
        <f>IF(I21="","",IF(I21="No aplica","N/A",INDEX(Escala!$C$5:$C$9,MATCH(I21,Escala!$B$5:$B$9,0))))</f>
        <v/>
      </c>
      <c r="K21" s="146" t="inlineStr">
        <is>
          <t>Consulta de listas ONU al vincular clientes.</t>
        </is>
      </c>
      <c r="L21" s="146" t="inlineStr">
        <is>
          <t>No hay política FPADM escrita; navieras y buques no se consultan.</t>
        </is>
      </c>
      <c r="M21" s="146" t="inlineStr">
        <is>
          <t>Adoptar la política FPADM e incluir navieras en las consultas.</t>
        </is>
      </c>
      <c r="N21" s="146" t="inlineStr">
        <is>
          <t>Oficial de Cumplimiento</t>
        </is>
      </c>
      <c r="O21" s="220" t="n">
        <v>46418</v>
      </c>
      <c r="P21" s="218" t="inlineStr">
        <is>
          <t>Pendiente</t>
        </is>
      </c>
      <c r="Q21" s="221">
        <f>IF(I21="No aplica",0,H21)</f>
        <v/>
      </c>
      <c r="R21" s="221">
        <f>IF(ISNUMBER(J21),J21*H21,0)</f>
        <v/>
      </c>
    </row>
    <row r="22" ht="62" customHeight="1">
      <c r="A22" s="210" t="inlineStr">
        <is>
          <t>S-14</t>
        </is>
      </c>
      <c r="B22" s="211" t="inlineStr">
        <is>
          <t>02. Políticas mínimas</t>
        </is>
      </c>
      <c r="C22" s="212" t="inlineStr">
        <is>
          <t>9.7.2 g</t>
        </is>
      </c>
      <c r="D22" s="213" t="inlineStr">
        <is>
          <t>176-177</t>
        </is>
      </c>
      <c r="E22" s="214" t="inlineStr">
        <is>
          <t>Política de contratación estatal (etapas precontractual, contractual y poscontractual) con prohibición expresa de incentivos indebidos, falsificar documentos, dar información inexacta o aceptar pretensiones ilegales.</t>
        </is>
      </c>
      <c r="F22" s="215" t="inlineStr">
        <is>
          <t>Política aprobada; DD en procesos de contratación pública; inventario de contratos estatales (o 'No aplica' justificado).</t>
        </is>
      </c>
      <c r="G22" s="216" t="inlineStr">
        <is>
          <t>RL / Jurídica</t>
        </is>
      </c>
      <c r="H22" s="217" t="n">
        <v>3</v>
      </c>
      <c r="I22" s="218" t="inlineStr">
        <is>
          <t>No cumple</t>
        </is>
      </c>
      <c r="J22" s="219">
        <f>IF(I22="","",IF(I22="No aplica","N/A",INDEX(Escala!$C$5:$C$9,MATCH(I22,Escala!$B$5:$B$9,0))))</f>
        <v/>
      </c>
      <c r="K22" s="146" t="inlineStr">
        <is>
          <t>La Empresa participó en una convocatoria departamental de alianzas productivas en 2025.</t>
        </is>
      </c>
      <c r="L22" s="146" t="inlineStr">
        <is>
          <t>No existe política de contratación estatal.</t>
        </is>
      </c>
      <c r="M22" s="146" t="inlineStr">
        <is>
          <t>Adoptar la política de contratación estatal en la Política Integral.</t>
        </is>
      </c>
      <c r="N22" s="146" t="inlineStr">
        <is>
          <t>Jurídica</t>
        </is>
      </c>
      <c r="O22" s="220" t="n">
        <v>46446</v>
      </c>
      <c r="P22" s="218" t="inlineStr">
        <is>
          <t>Pendiente</t>
        </is>
      </c>
      <c r="Q22" s="221">
        <f>IF(I22="No aplica",0,H22)</f>
        <v/>
      </c>
      <c r="R22" s="221">
        <f>IF(ISNUMBER(J22),J22*H22,0)</f>
        <v/>
      </c>
    </row>
    <row r="23" ht="75" customHeight="1">
      <c r="A23" s="210" t="inlineStr">
        <is>
          <t>S-15</t>
        </is>
      </c>
      <c r="B23" s="211" t="inlineStr">
        <is>
          <t>02. Políticas mínimas</t>
        </is>
      </c>
      <c r="C23" s="212" t="inlineStr">
        <is>
          <t>9.7.2 h</t>
        </is>
      </c>
      <c r="D23" s="213" t="inlineStr">
        <is>
          <t>177</t>
        </is>
      </c>
      <c r="E23" s="214" t="inlineStr">
        <is>
          <t>Código de Ética articulado con el Sistema: expectativas de conducta, sistema de valores, ejemplos de dilemas éticos, evaluación periódica de percepción, instancia responsable, canales de denuncia/consulta y capacitación obligatoria en ética.</t>
        </is>
      </c>
      <c r="F23" s="215" t="inlineStr">
        <is>
          <t>Código vigente que contenga los 7 elementos; encuesta periódica de percepción; actas de la instancia de ética; registros de capacitación.</t>
        </is>
      </c>
      <c r="G23" s="216" t="inlineStr">
        <is>
          <t>Junta Directiva / Talento humano / OC</t>
        </is>
      </c>
      <c r="H23" s="217" t="n">
        <v>3</v>
      </c>
      <c r="I23" s="218" t="inlineStr">
        <is>
          <t>Cumple parcialmente</t>
        </is>
      </c>
      <c r="J23" s="219">
        <f>IF(I23="","",IF(I23="No aplica","N/A",INDEX(Escala!$C$5:$C$9,MATCH(I23,Escala!$B$5:$B$9,0))))</f>
        <v/>
      </c>
      <c r="K23" s="146" t="inlineStr">
        <is>
          <t>Código de Ética de 2021.</t>
        </is>
      </c>
      <c r="L23" s="146" t="inlineStr">
        <is>
          <t>No incluye dilemas del sector, encuesta de percepción ni capacitación obligatoria.</t>
        </is>
      </c>
      <c r="M23" s="146" t="inlineStr">
        <is>
          <t>Actualizar el código con los 7 elementos del num. 9.7.2 h.</t>
        </is>
      </c>
      <c r="N23" s="146" t="inlineStr">
        <is>
          <t>Talento Humano</t>
        </is>
      </c>
      <c r="O23" s="220" t="n">
        <v>46477</v>
      </c>
      <c r="P23" s="218" t="inlineStr">
        <is>
          <t>Pendiente</t>
        </is>
      </c>
      <c r="Q23" s="221">
        <f>IF(I23="No aplica",0,H23)</f>
        <v/>
      </c>
      <c r="R23" s="221">
        <f>IF(ISNUMBER(J23),J23*H23,0)</f>
        <v/>
      </c>
    </row>
    <row r="24" ht="49" customHeight="1">
      <c r="A24" s="210" t="inlineStr">
        <is>
          <t>S-16</t>
        </is>
      </c>
      <c r="B24" s="211" t="inlineStr">
        <is>
          <t>02. Políticas mínimas</t>
        </is>
      </c>
      <c r="C24" s="212" t="inlineStr">
        <is>
          <t>9.7.2 i</t>
        </is>
      </c>
      <c r="D24" s="213" t="inlineStr">
        <is>
          <t>177</t>
        </is>
      </c>
      <c r="E24" s="214" t="inlineStr">
        <is>
          <t>Incorporar las demás políticas de los lineamientos mínimos de Transparencia y Ética Empresarial de la Secretaría de Transparencia de la Presidencia.</t>
        </is>
      </c>
      <c r="F24" s="215" t="inlineStr">
        <is>
          <t>Cruce documentado entre los lineamientos de la Secretaría de Transparencia y las políticas adoptadas.</t>
        </is>
      </c>
      <c r="G24" s="216" t="inlineStr">
        <is>
          <t>Oficial de Cumplimiento</t>
        </is>
      </c>
      <c r="H24" s="217" t="n">
        <v>2</v>
      </c>
      <c r="I24" s="218" t="inlineStr">
        <is>
          <t>Cumplimiento incipiente</t>
        </is>
      </c>
      <c r="J24" s="219">
        <f>IF(I24="","",IF(I24="No aplica","N/A",INDEX(Escala!$C$5:$C$9,MATCH(I24,Escala!$B$5:$B$9,0))))</f>
        <v/>
      </c>
      <c r="K24" s="146" t="inlineStr">
        <is>
          <t>Revisión preliminar de los lineamientos de la Secretaría de Transparencia.</t>
        </is>
      </c>
      <c r="L24" s="146" t="inlineStr">
        <is>
          <t>No hay cruce documentado con las políticas adoptadas.</t>
        </is>
      </c>
      <c r="M24" s="146" t="inlineStr">
        <is>
          <t>Elaborar el cruce lineamientos vs. políticas.</t>
        </is>
      </c>
      <c r="N24" s="146" t="inlineStr">
        <is>
          <t>Oficial de Cumplimiento</t>
        </is>
      </c>
      <c r="O24" s="220" t="n">
        <v>46446</v>
      </c>
      <c r="P24" s="218" t="inlineStr">
        <is>
          <t>Pendiente</t>
        </is>
      </c>
      <c r="Q24" s="221">
        <f>IF(I24="No aplica",0,H24)</f>
        <v/>
      </c>
      <c r="R24" s="221">
        <f>IF(ISNUMBER(J24),J24*H24,0)</f>
        <v/>
      </c>
    </row>
    <row r="25" ht="24" customHeight="1">
      <c r="A25" s="206" t="inlineStr">
        <is>
          <t>03  ·  Funciones de la Junta Directiva / máximo órgano     (8 requisitos)</t>
        </is>
      </c>
      <c r="B25" s="207" t="n"/>
      <c r="C25" s="207" t="n"/>
      <c r="D25" s="207" t="n"/>
      <c r="E25" s="207" t="n"/>
      <c r="F25" s="207" t="n"/>
      <c r="G25" s="207" t="n"/>
      <c r="H25" s="207" t="n"/>
      <c r="I25" s="208" t="n"/>
      <c r="J25" s="209">
        <f>IFERROR(SUMIFS($R$7:$R$400,$B$7:$B$400,"03. Funciones de la Junta Directiva / máximo órgano")/SUMIFS($Q$7:$Q$400,$B$7:$B$400,"03. Funciones de la Junta Directiva / máximo órgano"),"N/A")</f>
        <v/>
      </c>
      <c r="K25" s="208" t="n"/>
      <c r="L25" s="208" t="n"/>
      <c r="M25" s="208" t="n"/>
      <c r="N25" s="208" t="n"/>
      <c r="O25" s="208" t="n"/>
      <c r="P25" s="208" t="n"/>
      <c r="Q25" s="130" t="n"/>
      <c r="R25" s="130" t="n"/>
    </row>
    <row r="26" ht="49" customHeight="1">
      <c r="A26" s="210" t="inlineStr">
        <is>
          <t>S-17</t>
        </is>
      </c>
      <c r="B26" s="211" t="inlineStr">
        <is>
          <t>03. Funciones de la Junta Directiva / máximo órgano</t>
        </is>
      </c>
      <c r="C26" s="212" t="inlineStr">
        <is>
          <t>9.7.3 a</t>
        </is>
      </c>
      <c r="D26" s="213" t="inlineStr">
        <is>
          <t>178</t>
        </is>
      </c>
      <c r="E26" s="214" t="inlineStr">
        <is>
          <t>Asignar expresamente a la Junta Directiva (o máximo órgano) las funciones mínimas, y que el OC documente las comunicaciones sobre ellas y las consecuencias de su incumplimiento.</t>
        </is>
      </c>
      <c r="F26" s="215" t="inlineStr">
        <is>
          <t>Reglamento de Junta o acta con funciones asignadas; comunicación del OC a la Junta archivada.</t>
        </is>
      </c>
      <c r="G26" s="216" t="inlineStr">
        <is>
          <t>Junta Directiva / OC</t>
        </is>
      </c>
      <c r="H26" s="217" t="n">
        <v>2</v>
      </c>
      <c r="I26" s="218" t="inlineStr">
        <is>
          <t>Cumple parcialmente</t>
        </is>
      </c>
      <c r="J26" s="219">
        <f>IF(I26="","",IF(I26="No aplica","N/A",INDEX(Escala!$C$5:$C$9,MATCH(I26,Escala!$B$5:$B$9,0))))</f>
        <v/>
      </c>
      <c r="K26" s="146" t="inlineStr">
        <is>
          <t>Las funciones de la Junta figuran en el manual SAGRILAFT.</t>
        </is>
      </c>
      <c r="L26" s="146" t="inlineStr">
        <is>
          <t>No hay constancia de que el OC haya comunicado a la Junta sus funciones y consecuencias.</t>
        </is>
      </c>
      <c r="M26" s="146" t="inlineStr">
        <is>
          <t>Presentarlas en la próxima sesión y dejarlo en acta.</t>
        </is>
      </c>
      <c r="N26" s="146" t="inlineStr">
        <is>
          <t>Oficial de Cumplimiento</t>
        </is>
      </c>
      <c r="O26" s="220" t="n">
        <v>46356</v>
      </c>
      <c r="P26" s="218" t="inlineStr">
        <is>
          <t>En curso</t>
        </is>
      </c>
      <c r="Q26" s="221">
        <f>IF(I26="No aplica",0,H26)</f>
        <v/>
      </c>
      <c r="R26" s="221">
        <f>IF(ISNUMBER(J26),J26*H26,0)</f>
        <v/>
      </c>
    </row>
    <row r="27" ht="36" customHeight="1">
      <c r="A27" s="210" t="inlineStr">
        <is>
          <t>S-18</t>
        </is>
      </c>
      <c r="B27" s="211" t="inlineStr">
        <is>
          <t>03. Funciones de la Junta Directiva / máximo órgano</t>
        </is>
      </c>
      <c r="C27" s="212" t="inlineStr">
        <is>
          <t>9.7.3 a.1</t>
        </is>
      </c>
      <c r="D27" s="213" t="inlineStr">
        <is>
          <t>178</t>
        </is>
      </c>
      <c r="E27" s="214" t="inlineStr">
        <is>
          <t>Aprobar mediante acta el Sistema y sus actualizaciones, ajustado a las particularidades del Sujeto Obligado.</t>
        </is>
      </c>
      <c r="F27" s="215" t="inlineStr">
        <is>
          <t>Acta de Junta / máximo órgano que aprueba el Sistema unificado y cada actualización.</t>
        </is>
      </c>
      <c r="G27" s="216" t="inlineStr">
        <is>
          <t>Junta Directiva</t>
        </is>
      </c>
      <c r="H27" s="217" t="n">
        <v>3</v>
      </c>
      <c r="I27" s="218" t="inlineStr">
        <is>
          <t>Cumple en gran medida</t>
        </is>
      </c>
      <c r="J27" s="219">
        <f>IF(I27="","",IF(I27="No aplica","N/A",INDEX(Escala!$C$5:$C$9,MATCH(I27,Escala!$B$5:$B$9,0))))</f>
        <v/>
      </c>
      <c r="K27" s="146" t="inlineStr">
        <is>
          <t>Acta 45 (mar. 2023) aprueba el SAGRILAFT; Acta 47 aprueba el PTEE.</t>
        </is>
      </c>
      <c r="L27" s="146" t="inlineStr">
        <is>
          <t>Falta aprobar el Sistema unificado.</t>
        </is>
      </c>
      <c r="M27" s="146" t="inlineStr">
        <is>
          <t>Aprobación en Junta antes del 31/05/2027.</t>
        </is>
      </c>
      <c r="N27" s="146" t="inlineStr">
        <is>
          <t>Junta Directiva</t>
        </is>
      </c>
      <c r="O27" s="220" t="n">
        <v>46507</v>
      </c>
      <c r="P27" s="218" t="inlineStr">
        <is>
          <t>Pendiente</t>
        </is>
      </c>
      <c r="Q27" s="221">
        <f>IF(I27="No aplica",0,H27)</f>
        <v/>
      </c>
      <c r="R27" s="221">
        <f>IF(ISNUMBER(J27),J27*H27,0)</f>
        <v/>
      </c>
    </row>
    <row r="28" ht="49" customHeight="1">
      <c r="A28" s="210" t="inlineStr">
        <is>
          <t>S-19</t>
        </is>
      </c>
      <c r="B28" s="211" t="inlineStr">
        <is>
          <t>03. Funciones de la Junta Directiva / máximo órgano</t>
        </is>
      </c>
      <c r="C28" s="212" t="inlineStr">
        <is>
          <t>9.7.3 a.2</t>
        </is>
      </c>
      <c r="D28" s="213" t="inlineStr">
        <is>
          <t>178</t>
        </is>
      </c>
      <c r="E28" s="214" t="inlineStr">
        <is>
          <t>Designar al OC principal y suplente verificando disponibilidad, capacidad, competencias y ausencia de inhabilidades e incompatibilidades.</t>
        </is>
      </c>
      <c r="F28" s="215" t="inlineStr">
        <is>
          <t>Acta de designación de ambos con soporte de la verificación de requisitos.</t>
        </is>
      </c>
      <c r="G28" s="216" t="inlineStr">
        <is>
          <t>Junta Directiva</t>
        </is>
      </c>
      <c r="H28" s="217" t="n">
        <v>3</v>
      </c>
      <c r="I28" s="218" t="inlineStr">
        <is>
          <t>Cumple totalmente</t>
        </is>
      </c>
      <c r="J28" s="219">
        <f>IF(I28="","",IF(I28="No aplica","N/A",INDEX(Escala!$C$5:$C$9,MATCH(I28,Escala!$B$5:$B$9,0))))</f>
        <v/>
      </c>
      <c r="K28" s="146" t="inlineStr">
        <is>
          <t>Acta 52 (feb. 2026) designa OC principal y suplente con verificación de requisitos.</t>
        </is>
      </c>
      <c r="L28" s="146" t="n"/>
      <c r="M28" s="146" t="n"/>
      <c r="N28" s="146" t="n"/>
      <c r="O28" s="220" t="n"/>
      <c r="P28" s="218" t="n"/>
      <c r="Q28" s="221">
        <f>IF(I28="No aplica",0,H28)</f>
        <v/>
      </c>
      <c r="R28" s="221">
        <f>IF(ISNUMBER(J28),J28*H28,0)</f>
        <v/>
      </c>
    </row>
    <row r="29" ht="49" customHeight="1">
      <c r="A29" s="210" t="inlineStr">
        <is>
          <t>S-20</t>
        </is>
      </c>
      <c r="B29" s="211" t="inlineStr">
        <is>
          <t>03. Funciones de la Junta Directiva / máximo órgano</t>
        </is>
      </c>
      <c r="C29" s="212" t="inlineStr">
        <is>
          <t>9.7.3 a.3-a.4</t>
        </is>
      </c>
      <c r="D29" s="213" t="inlineStr">
        <is>
          <t>178</t>
        </is>
      </c>
      <c r="E29" s="214" t="inlineStr">
        <is>
          <t>Estudiar los informes del Sistema, decidir sobre correctivos y actualizaciones propuestos por el OC y analizar las solicitudes del RL y del OC, dejando constancia en actas.</t>
        </is>
      </c>
      <c r="F29" s="215" t="inlineStr">
        <is>
          <t>Actas con pronunciamiento y decisión expresa sobre cada informe y propuesta (no basta con 'se presentó').</t>
        </is>
      </c>
      <c r="G29" s="216" t="inlineStr">
        <is>
          <t>Junta Directiva</t>
        </is>
      </c>
      <c r="H29" s="217" t="n">
        <v>3</v>
      </c>
      <c r="I29" s="218" t="inlineStr">
        <is>
          <t>Cumple parcialmente</t>
        </is>
      </c>
      <c r="J29" s="219">
        <f>IF(I29="","",IF(I29="No aplica","N/A",INDEX(Escala!$C$5:$C$9,MATCH(I29,Escala!$B$5:$B$9,0))))</f>
        <v/>
      </c>
      <c r="K29" s="146" t="inlineStr">
        <is>
          <t>Las actas registran la presentación del informe anual del OC.</t>
        </is>
      </c>
      <c r="L29" s="146" t="inlineStr">
        <is>
          <t>Las actas dicen 'se presentó' sin decidir sobre cada recomendación.</t>
        </is>
      </c>
      <c r="M29" s="146" t="inlineStr">
        <is>
          <t>Registrar en acta la decisión sobre cada recomendación.</t>
        </is>
      </c>
      <c r="N29" s="146" t="inlineStr">
        <is>
          <t>Secretario de Junta</t>
        </is>
      </c>
      <c r="O29" s="220" t="n">
        <v>46371</v>
      </c>
      <c r="P29" s="218" t="inlineStr">
        <is>
          <t>Pendiente</t>
        </is>
      </c>
      <c r="Q29" s="221">
        <f>IF(I29="No aplica",0,H29)</f>
        <v/>
      </c>
      <c r="R29" s="221">
        <f>IF(ISNUMBER(J29),J29*H29,0)</f>
        <v/>
      </c>
    </row>
    <row r="30" ht="49" customHeight="1">
      <c r="A30" s="210" t="inlineStr">
        <is>
          <t>S-21</t>
        </is>
      </c>
      <c r="B30" s="211" t="inlineStr">
        <is>
          <t>03. Funciones de la Junta Directiva / máximo órgano</t>
        </is>
      </c>
      <c r="C30" s="212" t="inlineStr">
        <is>
          <t>9.7.3 a.5</t>
        </is>
      </c>
      <c r="D30" s="213" t="inlineStr">
        <is>
          <t>178</t>
        </is>
      </c>
      <c r="E30" s="214" t="inlineStr">
        <is>
          <t>Pronunciarse sobre los informes de revisoría fiscal y auditorías relacionados con el Sistema y hacer seguimiento a sus observaciones, en actas.</t>
        </is>
      </c>
      <c r="F30" s="215" t="inlineStr">
        <is>
          <t>Actas con pronunciamiento y seguimiento periódico a recomendaciones.</t>
        </is>
      </c>
      <c r="G30" s="216" t="inlineStr">
        <is>
          <t>Junta Directiva</t>
        </is>
      </c>
      <c r="H30" s="217" t="n">
        <v>2</v>
      </c>
      <c r="I30" s="218" t="inlineStr">
        <is>
          <t>Cumple parcialmente</t>
        </is>
      </c>
      <c r="J30" s="219">
        <f>IF(I30="","",IF(I30="No aplica","N/A",INDEX(Escala!$C$5:$C$9,MATCH(I30,Escala!$B$5:$B$9,0))))</f>
        <v/>
      </c>
      <c r="K30" s="146" t="inlineStr">
        <is>
          <t>La Junta recibe el dictamen del Revisor Fiscal.</t>
        </is>
      </c>
      <c r="L30" s="146" t="inlineStr">
        <is>
          <t>No hay seguimiento a sus observaciones sobre el Sistema.</t>
        </is>
      </c>
      <c r="M30" s="146" t="inlineStr">
        <is>
          <t>Presentar a la Junta una matriz de seguimiento de hallazgos.</t>
        </is>
      </c>
      <c r="N30" s="146" t="inlineStr">
        <is>
          <t>Oficial de Cumplimiento</t>
        </is>
      </c>
      <c r="O30" s="220" t="n">
        <v>46371</v>
      </c>
      <c r="P30" s="218" t="inlineStr">
        <is>
          <t>Pendiente</t>
        </is>
      </c>
      <c r="Q30" s="221">
        <f>IF(I30="No aplica",0,H30)</f>
        <v/>
      </c>
      <c r="R30" s="221">
        <f>IF(ISNUMBER(J30),J30*H30,0)</f>
        <v/>
      </c>
    </row>
    <row r="31" ht="49" customHeight="1">
      <c r="A31" s="210" t="inlineStr">
        <is>
          <t>S-22</t>
        </is>
      </c>
      <c r="B31" s="211" t="inlineStr">
        <is>
          <t>03. Funciones de la Junta Directiva / máximo órgano</t>
        </is>
      </c>
      <c r="C31" s="212" t="inlineStr">
        <is>
          <t>9.7.3 a.6, a.11</t>
        </is>
      </c>
      <c r="D31" s="213" t="inlineStr">
        <is>
          <t>179</t>
        </is>
      </c>
      <c r="E31" s="214" t="inlineStr">
        <is>
          <t>Garantizar recursos operativos, financieros, físicos y tecnológicos para el OC y asegurar su autonomía e independencia.</t>
        </is>
      </c>
      <c r="F31" s="215" t="inlineStr">
        <is>
          <t>Presupuesto aprobado para cumplimiento; herramientas de consulta; organigrama con dependencia directa.</t>
        </is>
      </c>
      <c r="G31" s="216" t="inlineStr">
        <is>
          <t>Junta Directiva</t>
        </is>
      </c>
      <c r="H31" s="217" t="n">
        <v>3</v>
      </c>
      <c r="I31" s="218" t="inlineStr">
        <is>
          <t>Cumple en gran medida</t>
        </is>
      </c>
      <c r="J31" s="219">
        <f>IF(I31="","",IF(I31="No aplica","N/A",INDEX(Escala!$C$5:$C$9,MATCH(I31,Escala!$B$5:$B$9,0))))</f>
        <v/>
      </c>
      <c r="K31" s="146" t="inlineStr">
        <is>
          <t>Presupuesto 2026 aprobado para herramienta de listas y un analista de apoyo.</t>
        </is>
      </c>
      <c r="L31" s="146" t="inlineStr">
        <is>
          <t>La autonomía del OC no está formalizada (ver S-38).</t>
        </is>
      </c>
      <c r="M31" s="146" t="inlineStr">
        <is>
          <t>Formalizar su dependencia directa de la Junta.</t>
        </is>
      </c>
      <c r="N31" s="146" t="inlineStr">
        <is>
          <t>Junta Directiva</t>
        </is>
      </c>
      <c r="O31" s="220" t="n">
        <v>46371</v>
      </c>
      <c r="P31" s="218" t="inlineStr">
        <is>
          <t>Pendiente</t>
        </is>
      </c>
      <c r="Q31" s="221">
        <f>IF(I31="No aplica",0,H31)</f>
        <v/>
      </c>
      <c r="R31" s="221">
        <f>IF(ISNUMBER(J31),J31*H31,0)</f>
        <v/>
      </c>
    </row>
    <row r="32" ht="49" customHeight="1">
      <c r="A32" s="210" t="inlineStr">
        <is>
          <t>S-23</t>
        </is>
      </c>
      <c r="B32" s="211" t="inlineStr">
        <is>
          <t>03. Funciones de la Junta Directiva / máximo órgano</t>
        </is>
      </c>
      <c r="C32" s="212" t="inlineStr">
        <is>
          <t>9.7.3 a.7</t>
        </is>
      </c>
      <c r="D32" s="213" t="inlineStr">
        <is>
          <t>179</t>
        </is>
      </c>
      <c r="E32" s="214" t="inlineStr">
        <is>
          <t>Establecer criterios y estándares para vincular contrapartes PEP y para gestionar negocios con señales de alerta resultantes de la DD y DDI.</t>
        </is>
      </c>
      <c r="F32" s="215" t="inlineStr">
        <is>
          <t>Documento de criterios aprobado en acta.</t>
        </is>
      </c>
      <c r="G32" s="216" t="inlineStr">
        <is>
          <t>Junta Directiva</t>
        </is>
      </c>
      <c r="H32" s="217" t="n">
        <v>3</v>
      </c>
      <c r="I32" s="218" t="inlineStr">
        <is>
          <t>No cumple</t>
        </is>
      </c>
      <c r="J32" s="219">
        <f>IF(I32="","",IF(I32="No aplica","N/A",INDEX(Escala!$C$5:$C$9,MATCH(I32,Escala!$B$5:$B$9,0))))</f>
        <v/>
      </c>
      <c r="K32" s="146" t="inlineStr">
        <is>
          <t>No hay criterios aprobados para vincular PEP.</t>
        </is>
      </c>
      <c r="L32" s="146" t="inlineStr">
        <is>
          <t>Las vinculaciones PEP se deciden caso a caso.</t>
        </is>
      </c>
      <c r="M32" s="146" t="inlineStr">
        <is>
          <t>Aprobar en Junta los criterios para PEP y negocios con alertas.</t>
        </is>
      </c>
      <c r="N32" s="146" t="inlineStr">
        <is>
          <t>Junta Directiva</t>
        </is>
      </c>
      <c r="O32" s="220" t="n">
        <v>46371</v>
      </c>
      <c r="P32" s="218" t="inlineStr">
        <is>
          <t>Pendiente</t>
        </is>
      </c>
      <c r="Q32" s="221">
        <f>IF(I32="No aplica",0,H32)</f>
        <v/>
      </c>
      <c r="R32" s="221">
        <f>IF(ISNUMBER(J32),J32*H32,0)</f>
        <v/>
      </c>
    </row>
    <row r="33" ht="62" customHeight="1">
      <c r="A33" s="210" t="inlineStr">
        <is>
          <t>S-24</t>
        </is>
      </c>
      <c r="B33" s="211" t="inlineStr">
        <is>
          <t>03. Funciones de la Junta Directiva / máximo órgano</t>
        </is>
      </c>
      <c r="C33" s="212" t="inlineStr">
        <is>
          <t>9.7.3 a.8-a.10</t>
        </is>
      </c>
      <c r="D33" s="213" t="inlineStr">
        <is>
          <t>179</t>
        </is>
      </c>
      <c r="E33" s="214" t="inlineStr">
        <is>
          <t>Determinar medidas que garanticen la efectividad del Sistema, verificar que incluya sanciones para empleados, administradores, asociados y terceros (que consten en el acto o contrato) y promover la cultura de cumplimiento.</t>
        </is>
      </c>
      <c r="F33" s="215" t="inlineStr">
        <is>
          <t>Reglamento interno y contratos con cláusulas sancionatorias LA/FT/FP y C/ST; comunicaciones de la Junta sobre cultura de cumplimiento.</t>
        </is>
      </c>
      <c r="G33" s="216" t="inlineStr">
        <is>
          <t>Junta Directiva</t>
        </is>
      </c>
      <c r="H33" s="217" t="n">
        <v>2</v>
      </c>
      <c r="I33" s="218" t="inlineStr">
        <is>
          <t>Cumple parcialmente</t>
        </is>
      </c>
      <c r="J33" s="219">
        <f>IF(I33="","",IF(I33="No aplica","N/A",INDEX(Escala!$C$5:$C$9,MATCH(I33,Escala!$B$5:$B$9,0))))</f>
        <v/>
      </c>
      <c r="K33" s="146" t="inlineStr">
        <is>
          <t>El Reglamento Interno tipifica como falta grave incumplir el SAGRILAFT.</t>
        </is>
      </c>
      <c r="L33" s="146" t="inlineStr">
        <is>
          <t>Los contratos con proveedores y agentes de carga no tienen cláusula de cumplimiento.</t>
        </is>
      </c>
      <c r="M33" s="146" t="inlineStr">
        <is>
          <t>Incluir cláusula LA/FT y anticorrupción en contratos.</t>
        </is>
      </c>
      <c r="N33" s="146" t="inlineStr">
        <is>
          <t>Jurídica</t>
        </is>
      </c>
      <c r="O33" s="220" t="n">
        <v>46446</v>
      </c>
      <c r="P33" s="218" t="inlineStr">
        <is>
          <t>Pendiente</t>
        </is>
      </c>
      <c r="Q33" s="221">
        <f>IF(I33="No aplica",0,H33)</f>
        <v/>
      </c>
      <c r="R33" s="221">
        <f>IF(ISNUMBER(J33),J33*H33,0)</f>
        <v/>
      </c>
    </row>
    <row r="34" ht="24" customHeight="1">
      <c r="A34" s="206" t="inlineStr">
        <is>
          <t>04  ·  Funciones del Representante Legal     (7 requisitos)</t>
        </is>
      </c>
      <c r="B34" s="207" t="n"/>
      <c r="C34" s="207" t="n"/>
      <c r="D34" s="207" t="n"/>
      <c r="E34" s="207" t="n"/>
      <c r="F34" s="207" t="n"/>
      <c r="G34" s="207" t="n"/>
      <c r="H34" s="207" t="n"/>
      <c r="I34" s="208" t="n"/>
      <c r="J34" s="209">
        <f>IFERROR(SUMIFS($R$7:$R$400,$B$7:$B$400,"04. Funciones del Representante Legal")/SUMIFS($Q$7:$Q$400,$B$7:$B$400,"04. Funciones del Representante Legal"),"N/A")</f>
        <v/>
      </c>
      <c r="K34" s="208" t="n"/>
      <c r="L34" s="208" t="n"/>
      <c r="M34" s="208" t="n"/>
      <c r="N34" s="208" t="n"/>
      <c r="O34" s="208" t="n"/>
      <c r="P34" s="208" t="n"/>
      <c r="Q34" s="130" t="n"/>
      <c r="R34" s="130" t="n"/>
    </row>
    <row r="35" ht="36" customHeight="1">
      <c r="A35" s="210" t="inlineStr">
        <is>
          <t>S-25</t>
        </is>
      </c>
      <c r="B35" s="211" t="inlineStr">
        <is>
          <t>04. Funciones del Representante Legal</t>
        </is>
      </c>
      <c r="C35" s="212" t="inlineStr">
        <is>
          <t>9.7.3 b.1</t>
        </is>
      </c>
      <c r="D35" s="213" t="inlineStr">
        <is>
          <t>179</t>
        </is>
      </c>
      <c r="E35" s="214" t="inlineStr">
        <is>
          <t>Presentar con el OC, para aprobación de la Junta, la propuesta del Sistema y sus actualizaciones.</t>
        </is>
      </c>
      <c r="F35" s="215" t="inlineStr">
        <is>
          <t>Acta donde conste la presentación conjunta RL + OC.</t>
        </is>
      </c>
      <c r="G35" s="216" t="inlineStr">
        <is>
          <t>Representante Legal</t>
        </is>
      </c>
      <c r="H35" s="217" t="n">
        <v>2</v>
      </c>
      <c r="I35" s="218" t="inlineStr">
        <is>
          <t>Cumple totalmente</t>
        </is>
      </c>
      <c r="J35" s="219">
        <f>IF(I35="","",IF(I35="No aplica","N/A",INDEX(Escala!$C$5:$C$9,MATCH(I35,Escala!$B$5:$B$9,0))))</f>
        <v/>
      </c>
      <c r="K35" s="146" t="inlineStr">
        <is>
          <t>Acta 47: RL y OC presentaron el PTEE conjuntamente.</t>
        </is>
      </c>
      <c r="L35" s="146" t="n"/>
      <c r="M35" s="146" t="n"/>
      <c r="N35" s="146" t="n"/>
      <c r="O35" s="220" t="n"/>
      <c r="P35" s="218" t="n"/>
      <c r="Q35" s="221">
        <f>IF(I35="No aplica",0,H35)</f>
        <v/>
      </c>
      <c r="R35" s="221">
        <f>IF(ISNUMBER(J35),J35*H35,0)</f>
        <v/>
      </c>
    </row>
    <row r="36" ht="36" customHeight="1">
      <c r="A36" s="210" t="inlineStr">
        <is>
          <t>S-26</t>
        </is>
      </c>
      <c r="B36" s="211" t="inlineStr">
        <is>
          <t>04. Funciones del Representante Legal</t>
        </is>
      </c>
      <c r="C36" s="212" t="inlineStr">
        <is>
          <t>9.7.3 b.2</t>
        </is>
      </c>
      <c r="D36" s="213" t="inlineStr">
        <is>
          <t>179</t>
        </is>
      </c>
      <c r="E36" s="214" t="inlineStr">
        <is>
          <t>Estudiar los resultados de la evaluación de riesgo realizada por el OC y establecer los planes de acción.</t>
        </is>
      </c>
      <c r="F36" s="215" t="inlineStr">
        <is>
          <t>Plan de acción firmado por el RL con responsables y fechas.</t>
        </is>
      </c>
      <c r="G36" s="216" t="inlineStr">
        <is>
          <t>Representante Legal</t>
        </is>
      </c>
      <c r="H36" s="217" t="n">
        <v>3</v>
      </c>
      <c r="I36" s="218" t="inlineStr">
        <is>
          <t>Cumple parcialmente</t>
        </is>
      </c>
      <c r="J36" s="219">
        <f>IF(I36="","",IF(I36="No aplica","N/A",INDEX(Escala!$C$5:$C$9,MATCH(I36,Escala!$B$5:$B$9,0))))</f>
        <v/>
      </c>
      <c r="K36" s="146" t="inlineStr">
        <is>
          <t>El RL recibió la evaluación de riesgos 2025.</t>
        </is>
      </c>
      <c r="L36" s="146" t="inlineStr">
        <is>
          <t>No hay plan de acción firmado.</t>
        </is>
      </c>
      <c r="M36" s="146" t="inlineStr">
        <is>
          <t>Plan de acción firmado por el RL con responsables y fechas.</t>
        </is>
      </c>
      <c r="N36" s="146" t="inlineStr">
        <is>
          <t>Representante Legal</t>
        </is>
      </c>
      <c r="O36" s="220" t="n">
        <v>46356</v>
      </c>
      <c r="P36" s="218" t="inlineStr">
        <is>
          <t>Pendiente</t>
        </is>
      </c>
      <c r="Q36" s="221">
        <f>IF(I36="No aplica",0,H36)</f>
        <v/>
      </c>
      <c r="R36" s="221">
        <f>IF(ISNUMBER(J36),J36*H36,0)</f>
        <v/>
      </c>
    </row>
    <row r="37" ht="36" customHeight="1">
      <c r="A37" s="210" t="inlineStr">
        <is>
          <t>S-27</t>
        </is>
      </c>
      <c r="B37" s="211" t="inlineStr">
        <is>
          <t>04. Funciones del Representante Legal</t>
        </is>
      </c>
      <c r="C37" s="212" t="inlineStr">
        <is>
          <t>9.7.3 b.3-b.4</t>
        </is>
      </c>
      <c r="D37" s="213" t="inlineStr">
        <is>
          <t>179</t>
        </is>
      </c>
      <c r="E37" s="214" t="inlineStr">
        <is>
          <t>Asignar eficientemente los recursos definidos por la Junta y prestar apoyo eficiente, efectivo y oportuno al OC.</t>
        </is>
      </c>
      <c r="F37" s="215" t="inlineStr">
        <is>
          <t>Ejecución presupuestal; accesos y personal asignados al OC.</t>
        </is>
      </c>
      <c r="G37" s="216" t="inlineStr">
        <is>
          <t>Representante Legal</t>
        </is>
      </c>
      <c r="H37" s="217" t="n">
        <v>2</v>
      </c>
      <c r="I37" s="218" t="inlineStr">
        <is>
          <t>Cumple en gran medida</t>
        </is>
      </c>
      <c r="J37" s="219">
        <f>IF(I37="","",IF(I37="No aplica","N/A",INDEX(Escala!$C$5:$C$9,MATCH(I37,Escala!$B$5:$B$9,0))))</f>
        <v/>
      </c>
      <c r="K37" s="146" t="inlineStr">
        <is>
          <t>Analista asignado al OC desde 2026.</t>
        </is>
      </c>
      <c r="L37" s="146" t="inlineStr">
        <is>
          <t>El OC no tiene acceso al módulo de comercio exterior del ERP.</t>
        </is>
      </c>
      <c r="M37" s="146" t="inlineStr">
        <is>
          <t>Habilitar acceso de consulta.</t>
        </is>
      </c>
      <c r="N37" s="146" t="inlineStr">
        <is>
          <t>Director de TI</t>
        </is>
      </c>
      <c r="O37" s="220" t="n">
        <v>46341</v>
      </c>
      <c r="P37" s="218" t="inlineStr">
        <is>
          <t>En curso</t>
        </is>
      </c>
      <c r="Q37" s="221">
        <f>IF(I37="No aplica",0,H37)</f>
        <v/>
      </c>
      <c r="R37" s="221">
        <f>IF(ISNUMBER(J37),J37*H37,0)</f>
        <v/>
      </c>
    </row>
    <row r="38" ht="36" customHeight="1">
      <c r="A38" s="210" t="inlineStr">
        <is>
          <t>S-28</t>
        </is>
      </c>
      <c r="B38" s="211" t="inlineStr">
        <is>
          <t>04. Funciones del Representante Legal</t>
        </is>
      </c>
      <c r="C38" s="212" t="inlineStr">
        <is>
          <t>9.7.3 b.5</t>
        </is>
      </c>
      <c r="D38" s="213" t="inlineStr">
        <is>
          <t>179</t>
        </is>
      </c>
      <c r="E38" s="214" t="inlineStr">
        <is>
          <t>Presentar a la Junta los reportes, solicitudes, informes y alertas del Sistema que deban tratarse allí.</t>
        </is>
      </c>
      <c r="F38" s="215" t="inlineStr">
        <is>
          <t>Informes del RL a la Junta y actas.</t>
        </is>
      </c>
      <c r="G38" s="216" t="inlineStr">
        <is>
          <t>Representante Legal</t>
        </is>
      </c>
      <c r="H38" s="217" t="n">
        <v>2</v>
      </c>
      <c r="I38" s="218" t="inlineStr">
        <is>
          <t>Cumple en gran medida</t>
        </is>
      </c>
      <c r="J38" s="219">
        <f>IF(I38="","",IF(I38="No aplica","N/A",INDEX(Escala!$C$5:$C$9,MATCH(I38,Escala!$B$5:$B$9,0))))</f>
        <v/>
      </c>
      <c r="K38" s="146" t="inlineStr">
        <is>
          <t>El RL presenta alertas dentro del informe trimestral de gestión.</t>
        </is>
      </c>
      <c r="L38" s="146" t="inlineStr">
        <is>
          <t>Las alertas no se tratan como punto separado.</t>
        </is>
      </c>
      <c r="M38" s="146" t="inlineStr">
        <is>
          <t>Punto fijo en el orden del día de la Junta.</t>
        </is>
      </c>
      <c r="N38" s="146" t="inlineStr">
        <is>
          <t>Representante Legal</t>
        </is>
      </c>
      <c r="O38" s="220" t="n">
        <v>46371</v>
      </c>
      <c r="P38" s="218" t="inlineStr">
        <is>
          <t>Pendiente</t>
        </is>
      </c>
      <c r="Q38" s="221">
        <f>IF(I38="No aplica",0,H38)</f>
        <v/>
      </c>
      <c r="R38" s="221">
        <f>IF(ISNUMBER(J38),J38*H38,0)</f>
        <v/>
      </c>
    </row>
    <row r="39" ht="36" customHeight="1">
      <c r="A39" s="210" t="inlineStr">
        <is>
          <t>S-30</t>
        </is>
      </c>
      <c r="B39" s="211" t="inlineStr">
        <is>
          <t>04. Funciones del Representante Legal</t>
        </is>
      </c>
      <c r="C39" s="212" t="inlineStr">
        <is>
          <t>9.7.3 b.7</t>
        </is>
      </c>
      <c r="D39" s="213" t="inlineStr">
        <is>
          <t>180</t>
        </is>
      </c>
      <c r="E39" s="214" t="inlineStr">
        <is>
          <t>Certificar ante la Supersociedades el cumplimiento del Capítulo cuando esta lo requiera.</t>
        </is>
      </c>
      <c r="F39" s="215" t="inlineStr">
        <is>
          <t>Certificaciones radicadas y respuestas a requerimientos.</t>
        </is>
      </c>
      <c r="G39" s="216" t="inlineStr">
        <is>
          <t>Representante Legal</t>
        </is>
      </c>
      <c r="H39" s="217" t="n">
        <v>2</v>
      </c>
      <c r="I39" s="218" t="inlineStr">
        <is>
          <t>Cumple totalmente</t>
        </is>
      </c>
      <c r="J39" s="219">
        <f>IF(I39="","",IF(I39="No aplica","N/A",INDEX(Escala!$C$5:$C$9,MATCH(I39,Escala!$B$5:$B$9,0))))</f>
        <v/>
      </c>
      <c r="K39" s="146" t="inlineStr">
        <is>
          <t>Certificación radicada con el informe 2025.</t>
        </is>
      </c>
      <c r="L39" s="146" t="n"/>
      <c r="M39" s="146" t="n"/>
      <c r="N39" s="146" t="n"/>
      <c r="O39" s="220" t="n"/>
      <c r="P39" s="218" t="n"/>
      <c r="Q39" s="221">
        <f>IF(I39="No aplica",0,H39)</f>
        <v/>
      </c>
      <c r="R39" s="221">
        <f>IF(ISNUMBER(J39),J39*H39,0)</f>
        <v/>
      </c>
    </row>
    <row r="40" ht="36" customHeight="1">
      <c r="A40" s="210" t="inlineStr">
        <is>
          <t>S-31</t>
        </is>
      </c>
      <c r="B40" s="211" t="inlineStr">
        <is>
          <t>04. Funciones del Representante Legal</t>
        </is>
      </c>
      <c r="C40" s="212" t="inlineStr">
        <is>
          <t>9.7.3 b.8</t>
        </is>
      </c>
      <c r="D40" s="213" t="inlineStr">
        <is>
          <t>180</t>
        </is>
      </c>
      <c r="E40" s="214" t="inlineStr">
        <is>
          <t>Proponer a la Junta la persona que ocupará el cargo de OC.</t>
        </is>
      </c>
      <c r="F40" s="215" t="inlineStr">
        <is>
          <t>Acta en la que conste la propuesta del RL.</t>
        </is>
      </c>
      <c r="G40" s="216" t="inlineStr">
        <is>
          <t>Representante Legal</t>
        </is>
      </c>
      <c r="H40" s="217" t="n">
        <v>1</v>
      </c>
      <c r="I40" s="218" t="inlineStr">
        <is>
          <t>Cumple totalmente</t>
        </is>
      </c>
      <c r="J40" s="219">
        <f>IF(I40="","",IF(I40="No aplica","N/A",INDEX(Escala!$C$5:$C$9,MATCH(I40,Escala!$B$5:$B$9,0))))</f>
        <v/>
      </c>
      <c r="K40" s="146" t="inlineStr">
        <is>
          <t>Acta 52: el RL propuso al OC.</t>
        </is>
      </c>
      <c r="L40" s="146" t="n"/>
      <c r="M40" s="146" t="n"/>
      <c r="N40" s="146" t="n"/>
      <c r="O40" s="220" t="n"/>
      <c r="P40" s="218" t="n"/>
      <c r="Q40" s="221">
        <f>IF(I40="No aplica",0,H40)</f>
        <v/>
      </c>
      <c r="R40" s="221">
        <f>IF(ISNUMBER(J40),J40*H40,0)</f>
        <v/>
      </c>
    </row>
    <row r="41" ht="49" customHeight="1">
      <c r="A41" s="210" t="inlineStr">
        <is>
          <t>S-32</t>
        </is>
      </c>
      <c r="B41" s="211" t="inlineStr">
        <is>
          <t>04. Funciones del Representante Legal</t>
        </is>
      </c>
      <c r="C41" s="212" t="inlineStr">
        <is>
          <t>9.7.3 b.9</t>
        </is>
      </c>
      <c r="D41" s="213" t="inlineStr">
        <is>
          <t>180</t>
        </is>
      </c>
      <c r="E41" s="214" t="inlineStr">
        <is>
          <t>Aplicar los criterios de la Junta sobre vinculación de PEP y negocios con alertas, y tomar las decisiones específicas de vinculación.</t>
        </is>
      </c>
      <c r="F41" s="215" t="inlineStr">
        <is>
          <t>Registro de aprobaciones del RL para cada PEP o caso con alertas.</t>
        </is>
      </c>
      <c r="G41" s="216" t="inlineStr">
        <is>
          <t>Representante Legal</t>
        </is>
      </c>
      <c r="H41" s="217" t="n">
        <v>3</v>
      </c>
      <c r="I41" s="218" t="inlineStr">
        <is>
          <t>No cumple</t>
        </is>
      </c>
      <c r="J41" s="219">
        <f>IF(I41="","",IF(I41="No aplica","N/A",INDEX(Escala!$C$5:$C$9,MATCH(I41,Escala!$B$5:$B$9,0))))</f>
        <v/>
      </c>
      <c r="K41" s="146" t="inlineStr">
        <is>
          <t>Las vinculaciones PEP las aprueba el Gerente Comercial.</t>
        </is>
      </c>
      <c r="L41" s="146" t="inlineStr">
        <is>
          <t>La Circular asigna esta decisión al RL.</t>
        </is>
      </c>
      <c r="M41" s="146" t="inlineStr">
        <is>
          <t>Ajustar el flujo: aprobación del RL.</t>
        </is>
      </c>
      <c r="N41" s="146" t="inlineStr">
        <is>
          <t>Representante Legal</t>
        </is>
      </c>
      <c r="O41" s="220" t="n">
        <v>46371</v>
      </c>
      <c r="P41" s="218" t="inlineStr">
        <is>
          <t>Pendiente</t>
        </is>
      </c>
      <c r="Q41" s="221">
        <f>IF(I41="No aplica",0,H41)</f>
        <v/>
      </c>
      <c r="R41" s="221">
        <f>IF(ISNUMBER(J41),J41*H41,0)</f>
        <v/>
      </c>
    </row>
    <row r="42" ht="24" customHeight="1">
      <c r="A42" s="206" t="inlineStr">
        <is>
          <t>05  ·  Divulgación y capacitación     (5 requisitos)</t>
        </is>
      </c>
      <c r="B42" s="207" t="n"/>
      <c r="C42" s="207" t="n"/>
      <c r="D42" s="207" t="n"/>
      <c r="E42" s="207" t="n"/>
      <c r="F42" s="207" t="n"/>
      <c r="G42" s="207" t="n"/>
      <c r="H42" s="207" t="n"/>
      <c r="I42" s="208" t="n"/>
      <c r="J42" s="209">
        <f>IFERROR(SUMIFS($R$7:$R$400,$B$7:$B$400,"05. Divulgación y capacitación")/SUMIFS($Q$7:$Q$400,$B$7:$B$400,"05. Divulgación y capacitación"),"N/A")</f>
        <v/>
      </c>
      <c r="K42" s="208" t="n"/>
      <c r="L42" s="208" t="n"/>
      <c r="M42" s="208" t="n"/>
      <c r="N42" s="208" t="n"/>
      <c r="O42" s="208" t="n"/>
      <c r="P42" s="208" t="n"/>
      <c r="Q42" s="130" t="n"/>
      <c r="R42" s="130" t="n"/>
    </row>
    <row r="43" ht="36" customHeight="1">
      <c r="A43" s="210" t="inlineStr">
        <is>
          <t>S-33</t>
        </is>
      </c>
      <c r="B43" s="211" t="inlineStr">
        <is>
          <t>05. Divulgación y capacitación</t>
        </is>
      </c>
      <c r="C43" s="212" t="inlineStr">
        <is>
          <t>9.8</t>
        </is>
      </c>
      <c r="D43" s="213" t="inlineStr">
        <is>
          <t>180</t>
        </is>
      </c>
      <c r="E43" s="214" t="inlineStr">
        <is>
          <t>Divulgar y capacitar sobre el Sistema y sus políticas al interior y a las contrapartes, como mínimo una (1) vez al año.</t>
        </is>
      </c>
      <c r="F43" s="215" t="inlineStr">
        <is>
          <t>Plan anual ejecutado; evidencia de divulgación a clientes, proveedores y contratistas.</t>
        </is>
      </c>
      <c r="G43" s="216" t="inlineStr">
        <is>
          <t>Oficial de Cumplimiento</t>
        </is>
      </c>
      <c r="H43" s="217" t="n">
        <v>3</v>
      </c>
      <c r="I43" s="218" t="inlineStr">
        <is>
          <t>Cumple parcialmente</t>
        </is>
      </c>
      <c r="J43" s="219">
        <f>IF(I43="","",IF(I43="No aplica","N/A",INDEX(Escala!$C$5:$C$9,MATCH(I43,Escala!$B$5:$B$9,0))))</f>
        <v/>
      </c>
      <c r="K43" s="146" t="inlineStr">
        <is>
          <t>Capacitación anual a empleados en 2025 (85 % de asistencia).</t>
        </is>
      </c>
      <c r="L43" s="146" t="inlineStr">
        <is>
          <t>No se divulgó a contrapartes (productores, agentes de carga, accionistas).</t>
        </is>
      </c>
      <c r="M43" s="146" t="inlineStr">
        <is>
          <t>Plan de divulgación a contrapartes 2027.</t>
        </is>
      </c>
      <c r="N43" s="146" t="inlineStr">
        <is>
          <t>Oficial de Cumplimiento</t>
        </is>
      </c>
      <c r="O43" s="220" t="n">
        <v>46477</v>
      </c>
      <c r="P43" s="218" t="inlineStr">
        <is>
          <t>Pendiente</t>
        </is>
      </c>
      <c r="Q43" s="221">
        <f>IF(I43="No aplica",0,H43)</f>
        <v/>
      </c>
      <c r="R43" s="221">
        <f>IF(ISNUMBER(J43),J43*H43,0)</f>
        <v/>
      </c>
    </row>
    <row r="44" ht="36" customHeight="1">
      <c r="A44" s="210" t="inlineStr">
        <is>
          <t>S-34</t>
        </is>
      </c>
      <c r="B44" s="211" t="inlineStr">
        <is>
          <t>05. Divulgación y capacitación</t>
        </is>
      </c>
      <c r="C44" s="212" t="inlineStr">
        <is>
          <t>9.8</t>
        </is>
      </c>
      <c r="D44" s="213" t="inlineStr">
        <is>
          <t>180</t>
        </is>
      </c>
      <c r="E44" s="214" t="inlineStr">
        <is>
          <t>Dejar constancia de nombres de los asistentes, fecha y asuntos tratados.</t>
        </is>
      </c>
      <c r="F44" s="215" t="inlineStr">
        <is>
          <t>Listas de asistencia, certificados y contenidos de cada sesión.</t>
        </is>
      </c>
      <c r="G44" s="216" t="inlineStr">
        <is>
          <t>Oficial de Cumplimiento</t>
        </is>
      </c>
      <c r="H44" s="217" t="n">
        <v>3</v>
      </c>
      <c r="I44" s="218" t="inlineStr">
        <is>
          <t>Cumple totalmente</t>
        </is>
      </c>
      <c r="J44" s="219">
        <f>IF(I44="","",IF(I44="No aplica","N/A",INDEX(Escala!$C$5:$C$9,MATCH(I44,Escala!$B$5:$B$9,0))))</f>
        <v/>
      </c>
      <c r="K44" s="146" t="inlineStr">
        <is>
          <t>Listas de asistencia, fechas y temas archivados.</t>
        </is>
      </c>
      <c r="L44" s="146" t="n"/>
      <c r="M44" s="146" t="n"/>
      <c r="N44" s="146" t="n"/>
      <c r="O44" s="220" t="n"/>
      <c r="P44" s="218" t="n"/>
      <c r="Q44" s="221">
        <f>IF(I44="No aplica",0,H44)</f>
        <v/>
      </c>
      <c r="R44" s="221">
        <f>IF(ISNUMBER(J44),J44*H44,0)</f>
        <v/>
      </c>
    </row>
    <row r="45" ht="49" customHeight="1">
      <c r="A45" s="210" t="inlineStr">
        <is>
          <t>S-35</t>
        </is>
      </c>
      <c r="B45" s="211" t="inlineStr">
        <is>
          <t>05. Divulgación y capacitación</t>
        </is>
      </c>
      <c r="C45" s="212" t="inlineStr">
        <is>
          <t>9.8</t>
        </is>
      </c>
      <c r="D45" s="213" t="inlineStr">
        <is>
          <t>180</t>
        </is>
      </c>
      <c r="E45" s="214" t="inlineStr">
        <is>
          <t>Usar estrategias comunicativas; priorizar áreas de mayor exposición con métodos interactivos y ejemplos prácticos, sin omitir la divulgación general.</t>
        </is>
      </c>
      <c r="F45" s="215" t="inlineStr">
        <is>
          <t>Plan de comunicaciones; sesiones focalizadas a compras, comercial, tesorería, etc.</t>
        </is>
      </c>
      <c r="G45" s="216" t="inlineStr">
        <is>
          <t>Oficial de Cumplimiento</t>
        </is>
      </c>
      <c r="H45" s="217" t="n">
        <v>2</v>
      </c>
      <c r="I45" s="218" t="inlineStr">
        <is>
          <t>Cumple parcialmente</t>
        </is>
      </c>
      <c r="J45" s="219">
        <f>IF(I45="","",IF(I45="No aplica","N/A",INDEX(Escala!$C$5:$C$9,MATCH(I45,Escala!$B$5:$B$9,0))))</f>
        <v/>
      </c>
      <c r="K45" s="146" t="inlineStr">
        <is>
          <t>Una sola capacitación general virtual.</t>
        </is>
      </c>
      <c r="L45" s="146" t="inlineStr">
        <is>
          <t>Sin sesiones focalizadas para comercio exterior, compras y tesorería.</t>
        </is>
      </c>
      <c r="M45" s="146" t="inlineStr">
        <is>
          <t>Talleres con casos del sector.</t>
        </is>
      </c>
      <c r="N45" s="146" t="inlineStr">
        <is>
          <t>Oficial de Cumplimiento</t>
        </is>
      </c>
      <c r="O45" s="220" t="n">
        <v>46446</v>
      </c>
      <c r="P45" s="218" t="inlineStr">
        <is>
          <t>Pendiente</t>
        </is>
      </c>
      <c r="Q45" s="221">
        <f>IF(I45="No aplica",0,H45)</f>
        <v/>
      </c>
      <c r="R45" s="221">
        <f>IF(ISNUMBER(J45),J45*H45,0)</f>
        <v/>
      </c>
    </row>
    <row r="46" ht="49" customHeight="1">
      <c r="A46" s="210" t="inlineStr">
        <is>
          <t>S-36</t>
        </is>
      </c>
      <c r="B46" s="211" t="inlineStr">
        <is>
          <t>05. Divulgación y capacitación</t>
        </is>
      </c>
      <c r="C46" s="212" t="inlineStr">
        <is>
          <t>9.8</t>
        </is>
      </c>
      <c r="D46" s="213" t="inlineStr">
        <is>
          <t>180</t>
        </is>
      </c>
      <c r="E46" s="214" t="inlineStr">
        <is>
          <t>Como resultado, las partes interesadas deben identificar una operación inusual o sospechosa, una señal de alerta y cómo reportarlas.</t>
        </is>
      </c>
      <c r="F46" s="215" t="inlineStr">
        <is>
          <t>Evaluaciones posteriores a la capacitación con resultados medidos.</t>
        </is>
      </c>
      <c r="G46" s="216" t="inlineStr">
        <is>
          <t>Oficial de Cumplimiento</t>
        </is>
      </c>
      <c r="H46" s="217" t="n">
        <v>2</v>
      </c>
      <c r="I46" s="218" t="inlineStr">
        <is>
          <t>Cumplimiento incipiente</t>
        </is>
      </c>
      <c r="J46" s="219">
        <f>IF(I46="","",IF(I46="No aplica","N/A",INDEX(Escala!$C$5:$C$9,MATCH(I46,Escala!$B$5:$B$9,0))))</f>
        <v/>
      </c>
      <c r="K46" s="146" t="inlineStr">
        <is>
          <t>No hay evaluación después de la capacitación.</t>
        </is>
      </c>
      <c r="L46" s="146" t="inlineStr">
        <is>
          <t>No se mide si identifican operaciones inusuales.</t>
        </is>
      </c>
      <c r="M46" s="146" t="inlineStr">
        <is>
          <t>Evaluación de 10 preguntas al cierre de cada sesión.</t>
        </is>
      </c>
      <c r="N46" s="146" t="inlineStr">
        <is>
          <t>Oficial de Cumplimiento</t>
        </is>
      </c>
      <c r="O46" s="220" t="n">
        <v>46446</v>
      </c>
      <c r="P46" s="218" t="inlineStr">
        <is>
          <t>Pendiente</t>
        </is>
      </c>
      <c r="Q46" s="221">
        <f>IF(I46="No aplica",0,H46)</f>
        <v/>
      </c>
      <c r="R46" s="221">
        <f>IF(ISNUMBER(J46),J46*H46,0)</f>
        <v/>
      </c>
    </row>
    <row r="47" ht="49" customHeight="1">
      <c r="A47" s="210" t="inlineStr">
        <is>
          <t>S-37</t>
        </is>
      </c>
      <c r="B47" s="211" t="inlineStr">
        <is>
          <t>05. Divulgación y capacitación</t>
        </is>
      </c>
      <c r="C47" s="212" t="inlineStr">
        <is>
          <t>9.8</t>
        </is>
      </c>
      <c r="D47" s="213" t="inlineStr">
        <is>
          <t>180</t>
        </is>
      </c>
      <c r="E47" s="214" t="inlineStr">
        <is>
          <t>Estrategia de comunicación en otros idiomas si opera en países de idioma distinto al castellano o tiene empleados o directivos expatriados.</t>
        </is>
      </c>
      <c r="F47" s="215" t="inlineStr">
        <is>
          <t>Material traducido (o 'No aplica').</t>
        </is>
      </c>
      <c r="G47" s="216" t="inlineStr">
        <is>
          <t>Oficial de Cumplimiento</t>
        </is>
      </c>
      <c r="H47" s="217" t="n">
        <v>1</v>
      </c>
      <c r="I47" s="218" t="inlineStr">
        <is>
          <t>Cumple en gran medida</t>
        </is>
      </c>
      <c r="J47" s="219">
        <f>IF(I47="","",IF(I47="No aplica","N/A",INDEX(Escala!$C$5:$C$9,MATCH(I47,Escala!$B$5:$B$9,0))))</f>
        <v/>
      </c>
      <c r="K47" s="146" t="inlineStr">
        <is>
          <t>Los clientes reciben un resumen en inglés del SAGRILAFT.</t>
        </is>
      </c>
      <c r="L47" s="146" t="inlineStr">
        <is>
          <t>El resumen no incluye corrupción ni soborno transnacional.</t>
        </is>
      </c>
      <c r="M47" s="146" t="inlineStr">
        <is>
          <t>Actualizar el resumen en inglés.</t>
        </is>
      </c>
      <c r="N47" s="146" t="inlineStr">
        <is>
          <t>Comercio Exterior</t>
        </is>
      </c>
      <c r="O47" s="220" t="n">
        <v>46477</v>
      </c>
      <c r="P47" s="218" t="inlineStr">
        <is>
          <t>Pendiente</t>
        </is>
      </c>
      <c r="Q47" s="221">
        <f>IF(I47="No aplica",0,H47)</f>
        <v/>
      </c>
      <c r="R47" s="221">
        <f>IF(ISNUMBER(J47),J47*H47,0)</f>
        <v/>
      </c>
    </row>
    <row r="48" ht="24" customHeight="1">
      <c r="A48" s="206" t="inlineStr">
        <is>
          <t>06  ·  Oficial de Cumplimiento: estructura, requisitos e inhabilidades     (14 requisitos)</t>
        </is>
      </c>
      <c r="B48" s="207" t="n"/>
      <c r="C48" s="207" t="n"/>
      <c r="D48" s="207" t="n"/>
      <c r="E48" s="207" t="n"/>
      <c r="F48" s="207" t="n"/>
      <c r="G48" s="207" t="n"/>
      <c r="H48" s="207" t="n"/>
      <c r="I48" s="208" t="n"/>
      <c r="J48" s="209">
        <f>IFERROR(SUMIFS($R$7:$R$400,$B$7:$B$400,"06. Oficial de Cumplimiento: estructura, requisitos e inhabilidades")/SUMIFS($Q$7:$Q$400,$B$7:$B$400,"06. Oficial de Cumplimiento: estructura, requisitos e inhabilidades"),"N/A")</f>
        <v/>
      </c>
      <c r="K48" s="208" t="n"/>
      <c r="L48" s="208" t="n"/>
      <c r="M48" s="208" t="n"/>
      <c r="N48" s="208" t="n"/>
      <c r="O48" s="208" t="n"/>
      <c r="P48" s="208" t="n"/>
      <c r="Q48" s="130" t="n"/>
      <c r="R48" s="130" t="n"/>
    </row>
    <row r="49" ht="36" customHeight="1">
      <c r="A49" s="210" t="inlineStr">
        <is>
          <t>S-38</t>
        </is>
      </c>
      <c r="B49" s="211" t="inlineStr">
        <is>
          <t>06. Oficial de Cumplimiento: estructura, requisitos e inhabilidades</t>
        </is>
      </c>
      <c r="C49" s="212" t="inlineStr">
        <is>
          <t>9.9</t>
        </is>
      </c>
      <c r="D49" s="213" t="inlineStr">
        <is>
          <t>181</t>
        </is>
      </c>
      <c r="E49" s="214" t="inlineStr">
        <is>
          <t>El OC depende directamente de la Junta Directiva (o máximo órgano) y así se refleja en la estructura organizacional.</t>
        </is>
      </c>
      <c r="F49" s="215" t="inlineStr">
        <is>
          <t>Organigrama aprobado con línea de reporte directa a la Junta.</t>
        </is>
      </c>
      <c r="G49" s="216" t="inlineStr">
        <is>
          <t>Junta Directiva</t>
        </is>
      </c>
      <c r="H49" s="217" t="n">
        <v>3</v>
      </c>
      <c r="I49" s="218" t="inlineStr">
        <is>
          <t>No cumple</t>
        </is>
      </c>
      <c r="J49" s="219">
        <f>IF(I49="","",IF(I49="No aplica","N/A",INDEX(Escala!$C$5:$C$9,MATCH(I49,Escala!$B$5:$B$9,0))))</f>
        <v/>
      </c>
      <c r="K49" s="146" t="inlineStr">
        <is>
          <t>Organigrama vigente: el OC depende de la Gerencia Financiera.</t>
        </is>
      </c>
      <c r="L49" s="146" t="inlineStr">
        <is>
          <t>No depende directamente de la Junta.</t>
        </is>
      </c>
      <c r="M49" s="146" t="inlineStr">
        <is>
          <t>Modificar el organigrama y aprobarlo en Junta.</t>
        </is>
      </c>
      <c r="N49" s="146" t="inlineStr">
        <is>
          <t>Junta Directiva</t>
        </is>
      </c>
      <c r="O49" s="220" t="n">
        <v>46371</v>
      </c>
      <c r="P49" s="218" t="inlineStr">
        <is>
          <t>Pendiente</t>
        </is>
      </c>
      <c r="Q49" s="221">
        <f>IF(I49="No aplica",0,H49)</f>
        <v/>
      </c>
      <c r="R49" s="221">
        <f>IF(ISNUMBER(J49),J49*H49,0)</f>
        <v/>
      </c>
    </row>
    <row r="50" ht="36" customHeight="1">
      <c r="A50" s="210" t="inlineStr">
        <is>
          <t>S-39</t>
        </is>
      </c>
      <c r="B50" s="211" t="inlineStr">
        <is>
          <t>06. Oficial de Cumplimiento: estructura, requisitos e inhabilidades</t>
        </is>
      </c>
      <c r="C50" s="212" t="inlineStr">
        <is>
          <t>9.9</t>
        </is>
      </c>
      <c r="D50" s="213" t="inlineStr">
        <is>
          <t>181</t>
        </is>
      </c>
      <c r="E50" s="214" t="inlineStr">
        <is>
          <t>Contar con OC suplente con las mismas calidades y requisitos del principal.</t>
        </is>
      </c>
      <c r="F50" s="215" t="inlineStr">
        <is>
          <t>Acta de designación y soportes de requisitos del suplente.</t>
        </is>
      </c>
      <c r="G50" s="216" t="inlineStr">
        <is>
          <t>Junta Directiva</t>
        </is>
      </c>
      <c r="H50" s="217" t="n">
        <v>3</v>
      </c>
      <c r="I50" s="218" t="inlineStr">
        <is>
          <t>Cumple totalmente</t>
        </is>
      </c>
      <c r="J50" s="219">
        <f>IF(I50="","",IF(I50="No aplica","N/A",INDEX(Escala!$C$5:$C$9,MATCH(I50,Escala!$B$5:$B$9,0))))</f>
        <v/>
      </c>
      <c r="K50" s="146" t="inlineStr">
        <is>
          <t>Acta 52 designa suplente con los mismos requisitos.</t>
        </is>
      </c>
      <c r="L50" s="146" t="n"/>
      <c r="M50" s="146" t="n"/>
      <c r="N50" s="146" t="n"/>
      <c r="O50" s="220" t="n"/>
      <c r="P50" s="218" t="n"/>
      <c r="Q50" s="221">
        <f>IF(I50="No aplica",0,H50)</f>
        <v/>
      </c>
      <c r="R50" s="221">
        <f>IF(ISNUMBER(J50),J50*H50,0)</f>
        <v/>
      </c>
    </row>
    <row r="51" ht="49" customHeight="1">
      <c r="A51" s="210" t="inlineStr">
        <is>
          <t>S-40</t>
        </is>
      </c>
      <c r="B51" s="211" t="inlineStr">
        <is>
          <t>06. Oficial de Cumplimiento: estructura, requisitos e inhabilidades</t>
        </is>
      </c>
      <c r="C51" s="212" t="inlineStr">
        <is>
          <t>9.9.1</t>
        </is>
      </c>
      <c r="D51" s="213" t="inlineStr">
        <is>
          <t>181</t>
        </is>
      </c>
      <c r="E51" s="214" t="inlineStr">
        <is>
          <t>El OC conoce el giro ordinario, tiene acceso suficiente y oportuno a la información, equipo humano y técnico acorde al riesgo y comunicación directa con la Junta.</t>
        </is>
      </c>
      <c r="F51" s="215" t="inlineStr">
        <is>
          <t>Accesos a sistemas; equipo asignado; agenda de reuniones con la Junta.</t>
        </is>
      </c>
      <c r="G51" s="216" t="inlineStr">
        <is>
          <t>Junta Directiva / RL</t>
        </is>
      </c>
      <c r="H51" s="217" t="n">
        <v>2</v>
      </c>
      <c r="I51" s="218" t="inlineStr">
        <is>
          <t>Cumple en gran medida</t>
        </is>
      </c>
      <c r="J51" s="219">
        <f>IF(I51="","",IF(I51="No aplica","N/A",INDEX(Escala!$C$5:$C$9,MATCH(I51,Escala!$B$5:$B$9,0))))</f>
        <v/>
      </c>
      <c r="K51" s="146" t="inlineStr">
        <is>
          <t>El OC conoce el negocio y tiene acceso a la información.</t>
        </is>
      </c>
      <c r="L51" s="146" t="inlineStr">
        <is>
          <t>No hay reunión periódica directa con la Junta.</t>
        </is>
      </c>
      <c r="M51" s="146" t="inlineStr">
        <is>
          <t>Sesión semestral OC–Junta.</t>
        </is>
      </c>
      <c r="N51" s="146" t="inlineStr">
        <is>
          <t>Junta Directiva</t>
        </is>
      </c>
      <c r="O51" s="220" t="n">
        <v>46418</v>
      </c>
      <c r="P51" s="218" t="inlineStr">
        <is>
          <t>Pendiente</t>
        </is>
      </c>
      <c r="Q51" s="221">
        <f>IF(I51="No aplica",0,H51)</f>
        <v/>
      </c>
      <c r="R51" s="221">
        <f>IF(ISNUMBER(J51),J51*H51,0)</f>
        <v/>
      </c>
    </row>
    <row r="52" ht="49" customHeight="1">
      <c r="A52" s="210" t="inlineStr">
        <is>
          <t>S-41</t>
        </is>
      </c>
      <c r="B52" s="211" t="inlineStr">
        <is>
          <t>06. Oficial de Cumplimiento: estructura, requisitos e inhabilidades</t>
        </is>
      </c>
      <c r="C52" s="212" t="inlineStr">
        <is>
          <t>9.9.2 a</t>
        </is>
      </c>
      <c r="D52" s="213" t="inlineStr">
        <is>
          <t>182</t>
        </is>
      </c>
      <c r="E52" s="214" t="inlineStr">
        <is>
          <t>OC principal y suplente con título profesional y actualización de conocimientos en LA/FT/FP y C/ST como mínimo cada tres (3) años.</t>
        </is>
      </c>
      <c r="F52" s="215" t="inlineStr">
        <is>
          <t>Diploma profesional y certificados de actualización con fecha no mayor a 3 años.</t>
        </is>
      </c>
      <c r="G52" s="216" t="inlineStr">
        <is>
          <t>OC / Junta Directiva</t>
        </is>
      </c>
      <c r="H52" s="217" t="n">
        <v>3</v>
      </c>
      <c r="I52" s="218" t="inlineStr">
        <is>
          <t>Cumple parcialmente</t>
        </is>
      </c>
      <c r="J52" s="219">
        <f>IF(I52="","",IF(I52="No aplica","N/A",INDEX(Escala!$C$5:$C$9,MATCH(I52,Escala!$B$5:$B$9,0))))</f>
        <v/>
      </c>
      <c r="K52" s="146" t="inlineStr">
        <is>
          <t>Principal: abogada con especialización (2022). Suplente: contador.</t>
        </is>
      </c>
      <c r="L52" s="146" t="inlineStr">
        <is>
          <t>El suplente no acredita actualización en los últimos 3 años.</t>
        </is>
      </c>
      <c r="M52" s="146" t="inlineStr">
        <is>
          <t>Curso de actualización para el suplente.</t>
        </is>
      </c>
      <c r="N52" s="146" t="inlineStr">
        <is>
          <t>Talento Humano</t>
        </is>
      </c>
      <c r="O52" s="220" t="n">
        <v>46446</v>
      </c>
      <c r="P52" s="218" t="inlineStr">
        <is>
          <t>Pendiente</t>
        </is>
      </c>
      <c r="Q52" s="221">
        <f>IF(I52="No aplica",0,H52)</f>
        <v/>
      </c>
      <c r="R52" s="221">
        <f>IF(ISNUMBER(J52),J52*H52,0)</f>
        <v/>
      </c>
    </row>
    <row r="53" ht="36" customHeight="1">
      <c r="A53" s="210" t="inlineStr">
        <is>
          <t>S-42</t>
        </is>
      </c>
      <c r="B53" s="211" t="inlineStr">
        <is>
          <t>06. Oficial de Cumplimiento: estructura, requisitos e inhabilidades</t>
        </is>
      </c>
      <c r="C53" s="212" t="inlineStr">
        <is>
          <t>9.9.2 b</t>
        </is>
      </c>
      <c r="D53" s="213" t="inlineStr">
        <is>
          <t>182</t>
        </is>
      </c>
      <c r="E53" s="214" t="inlineStr">
        <is>
          <t>Experiencia profesional mínima de un (1) año en cargos de cumplimiento normativo en gestión de riesgos LA/FT/FP y C/ST.</t>
        </is>
      </c>
      <c r="F53" s="215" t="inlineStr">
        <is>
          <t>Certificaciones laborales que acrediten el año de experiencia.</t>
        </is>
      </c>
      <c r="G53" s="216" t="inlineStr">
        <is>
          <t>OC / Junta Directiva</t>
        </is>
      </c>
      <c r="H53" s="217" t="n">
        <v>3</v>
      </c>
      <c r="I53" s="218" t="inlineStr">
        <is>
          <t>Cumple totalmente</t>
        </is>
      </c>
      <c r="J53" s="219">
        <f>IF(I53="","",IF(I53="No aplica","N/A",INDEX(Escala!$C$5:$C$9,MATCH(I53,Escala!$B$5:$B$9,0))))</f>
        <v/>
      </c>
      <c r="K53" s="146" t="inlineStr">
        <is>
          <t>Certificaciones: principal 4 años y suplente 2 años en cumplimiento.</t>
        </is>
      </c>
      <c r="L53" s="146" t="n"/>
      <c r="M53" s="146" t="n"/>
      <c r="N53" s="146" t="n"/>
      <c r="O53" s="220" t="n"/>
      <c r="P53" s="218" t="n"/>
      <c r="Q53" s="221">
        <f>IF(I53="No aplica",0,H53)</f>
        <v/>
      </c>
      <c r="R53" s="221">
        <f>IF(ISNUMBER(J53),J53*H53,0)</f>
        <v/>
      </c>
    </row>
    <row r="54" ht="49" customHeight="1">
      <c r="A54" s="210" t="inlineStr">
        <is>
          <t>S-43</t>
        </is>
      </c>
      <c r="B54" s="211" t="inlineStr">
        <is>
          <t>06. Oficial de Cumplimiento: estructura, requisitos e inhabilidades</t>
        </is>
      </c>
      <c r="C54" s="212" t="inlineStr">
        <is>
          <t>9.9.2 c</t>
        </is>
      </c>
      <c r="D54" s="213" t="inlineStr">
        <is>
          <t>182</t>
        </is>
      </c>
      <c r="E54" s="214" t="inlineStr">
        <is>
          <t>Acreditar conocimientos mediante especialización o maestría (homologada si es del exterior) o diplomado de mínimo 90 horas directamente relacionado con LA/FT/FP y C/ST.</t>
        </is>
      </c>
      <c r="F54" s="215" t="inlineStr">
        <is>
          <t>Certificado que indique contenido, intensidad horaria y finalización del programa.</t>
        </is>
      </c>
      <c r="G54" s="216" t="inlineStr">
        <is>
          <t>OC / Junta Directiva</t>
        </is>
      </c>
      <c r="H54" s="217" t="n">
        <v>3</v>
      </c>
      <c r="I54" s="218" t="inlineStr">
        <is>
          <t>Cumple parcialmente</t>
        </is>
      </c>
      <c r="J54" s="219">
        <f>IF(I54="","",IF(I54="No aplica","N/A",INDEX(Escala!$C$5:$C$9,MATCH(I54,Escala!$B$5:$B$9,0))))</f>
        <v/>
      </c>
      <c r="K54" s="146" t="inlineStr">
        <is>
          <t>Principal: especialización en riesgos. Suplente: diplomado de 60 horas.</t>
        </is>
      </c>
      <c r="L54" s="146" t="inlineStr">
        <is>
          <t>El diplomado del suplente no llega a las 90 horas.</t>
        </is>
      </c>
      <c r="M54" s="146" t="inlineStr">
        <is>
          <t>Diplomado de 90 horas o más para el suplente.</t>
        </is>
      </c>
      <c r="N54" s="146" t="inlineStr">
        <is>
          <t>Talento Humano</t>
        </is>
      </c>
      <c r="O54" s="220" t="n">
        <v>46507</v>
      </c>
      <c r="P54" s="218" t="inlineStr">
        <is>
          <t>Pendiente</t>
        </is>
      </c>
      <c r="Q54" s="221">
        <f>IF(I54="No aplica",0,H54)</f>
        <v/>
      </c>
      <c r="R54" s="221">
        <f>IF(ISNUMBER(J54),J54*H54,0)</f>
        <v/>
      </c>
    </row>
    <row r="55" ht="36" customHeight="1">
      <c r="A55" s="210" t="inlineStr">
        <is>
          <t>S-44A</t>
        </is>
      </c>
      <c r="B55" s="211" t="inlineStr">
        <is>
          <t>06. Oficial de Cumplimiento: estructura, requisitos e inhabilidades</t>
        </is>
      </c>
      <c r="C55" s="212" t="inlineStr">
        <is>
          <t>9.9.2 f</t>
        </is>
      </c>
      <c r="D55" s="213" t="inlineStr">
        <is>
          <t>182</t>
        </is>
      </c>
      <c r="E55" s="214" t="inlineStr">
        <is>
          <t>El Oficial de Cumplimiento principal y el suplente están domiciliados en Colombia.</t>
        </is>
      </c>
      <c r="F55" s="215" t="inlineStr">
        <is>
          <t>Soporte de domicilio de ambos.</t>
        </is>
      </c>
      <c r="G55" s="216" t="inlineStr">
        <is>
          <t>Junta Directiva</t>
        </is>
      </c>
      <c r="H55" s="217" t="n">
        <v>2</v>
      </c>
      <c r="I55" s="218" t="inlineStr">
        <is>
          <t>Cumple totalmente</t>
        </is>
      </c>
      <c r="J55" s="219">
        <f>IF(I55="","",IF(I55="No aplica","N/A",INDEX(Escala!$C$5:$C$9,MATCH(I55,Escala!$B$5:$B$9,0))))</f>
        <v/>
      </c>
      <c r="K55" s="146" t="inlineStr">
        <is>
          <t>Principal y suplente domiciliados en Colombia.</t>
        </is>
      </c>
      <c r="L55" s="146" t="n"/>
      <c r="M55" s="146" t="n"/>
      <c r="N55" s="146" t="n"/>
      <c r="O55" s="220" t="n"/>
      <c r="P55" s="218" t="n"/>
      <c r="Q55" s="221">
        <f>IF(I55="No aplica",0,H55)</f>
        <v/>
      </c>
      <c r="R55" s="221">
        <f>IF(ISNUMBER(J55),J55*H55,0)</f>
        <v/>
      </c>
    </row>
    <row r="56" ht="49" customHeight="1">
      <c r="A56" s="210" t="inlineStr">
        <is>
          <t>S-44B</t>
        </is>
      </c>
      <c r="B56" s="211" t="inlineStr">
        <is>
          <t>06. Oficial de Cumplimiento: estructura, requisitos e inhabilidades</t>
        </is>
      </c>
      <c r="C56" s="212" t="inlineStr">
        <is>
          <t>9.9.2 d</t>
        </is>
      </c>
      <c r="D56" s="213" t="inlineStr">
        <is>
          <t>182</t>
        </is>
      </c>
      <c r="E56" s="214" t="inlineStr">
        <is>
          <t>Si el Oficial de Cumplimiento está vinculado a una persona jurídica externa y no a la Empresa, esa firma acredita experiencia en gestión de riesgos LA/FT/FP y C/ST.</t>
        </is>
      </c>
      <c r="F56" s="215" t="inlineStr">
        <is>
          <t>Certificado de experiencia de la firma (marcar 'No aplica' si el OC es empleado).</t>
        </is>
      </c>
      <c r="G56" s="216" t="inlineStr">
        <is>
          <t>Junta Directiva</t>
        </is>
      </c>
      <c r="H56" s="217" t="n">
        <v>1</v>
      </c>
      <c r="I56" s="218" t="inlineStr">
        <is>
          <t>No aplica</t>
        </is>
      </c>
      <c r="J56" s="219">
        <f>IF(I56="","",IF(I56="No aplica","N/A",INDEX(Escala!$C$5:$C$9,MATCH(I56,Escala!$B$5:$B$9,0))))</f>
        <v/>
      </c>
      <c r="K56" s="146" t="inlineStr">
        <is>
          <t>Ambos Oficiales son empleados de la Empresa; no hay firma externa.</t>
        </is>
      </c>
      <c r="L56" s="146" t="n"/>
      <c r="M56" s="146" t="n"/>
      <c r="N56" s="146" t="n"/>
      <c r="O56" s="220" t="n"/>
      <c r="P56" s="218" t="n"/>
      <c r="Q56" s="221">
        <f>IF(I56="No aplica",0,H56)</f>
        <v/>
      </c>
      <c r="R56" s="221">
        <f>IF(ISNUMBER(J56),J56*H56,0)</f>
        <v/>
      </c>
    </row>
    <row r="57" ht="49" customHeight="1">
      <c r="A57" s="210" t="inlineStr">
        <is>
          <t>S-45</t>
        </is>
      </c>
      <c r="B57" s="211" t="inlineStr">
        <is>
          <t>06. Oficial de Cumplimiento: estructura, requisitos e inhabilidades</t>
        </is>
      </c>
      <c r="C57" s="212" t="inlineStr">
        <is>
          <t>9.9.3 a-b</t>
        </is>
      </c>
      <c r="D57" s="213" t="inlineStr">
        <is>
          <t>182</t>
        </is>
      </c>
      <c r="E57" s="214" t="inlineStr">
        <is>
          <t>No actuar como OC en más de diez (10) Sujetos Obligados (salvo grupo empresarial o control declarado), ni en competidores; certificar circunstancias que afecten su independencia.</t>
        </is>
      </c>
      <c r="F57" s="215" t="inlineStr">
        <is>
          <t>Declaración del OC sobre empresas donde actúa y verificación del órgano que lo designa.</t>
        </is>
      </c>
      <c r="G57" s="216" t="inlineStr">
        <is>
          <t>OC / Junta Directiva</t>
        </is>
      </c>
      <c r="H57" s="217" t="n">
        <v>2</v>
      </c>
      <c r="I57" s="218" t="inlineStr">
        <is>
          <t>Cumple totalmente</t>
        </is>
      </c>
      <c r="J57" s="219">
        <f>IF(I57="","",IF(I57="No aplica","N/A",INDEX(Escala!$C$5:$C$9,MATCH(I57,Escala!$B$5:$B$9,0))))</f>
        <v/>
      </c>
      <c r="K57" s="146" t="inlineStr">
        <is>
          <t>Declaración firmada: el OC principal no actúa en otros sujetos obligados.</t>
        </is>
      </c>
      <c r="L57" s="146" t="n"/>
      <c r="M57" s="146" t="n"/>
      <c r="N57" s="146" t="n"/>
      <c r="O57" s="220" t="n"/>
      <c r="P57" s="218" t="n"/>
      <c r="Q57" s="221">
        <f>IF(I57="No aplica",0,H57)</f>
        <v/>
      </c>
      <c r="R57" s="221">
        <f>IF(ISNUMBER(J57),J57*H57,0)</f>
        <v/>
      </c>
    </row>
    <row r="58" ht="49" customHeight="1">
      <c r="A58" s="210" t="inlineStr">
        <is>
          <t>S-46</t>
        </is>
      </c>
      <c r="B58" s="211" t="inlineStr">
        <is>
          <t>06. Oficial de Cumplimiento: estructura, requisitos e inhabilidades</t>
        </is>
      </c>
      <c r="C58" s="212" t="inlineStr">
        <is>
          <t>9.9.3 c-e; 9.13</t>
        </is>
      </c>
      <c r="D58" s="213" t="inlineStr">
        <is>
          <t>182-183; 187</t>
        </is>
      </c>
      <c r="E58" s="214" t="inlineStr">
        <is>
          <t>El OC no puede ser administrador (RL, miembro de Junta o quien haga sus veces), asociado, revisor fiscal ni auditor interno o externo (ni vinculado a esas firmas).</t>
        </is>
      </c>
      <c r="F58" s="215" t="inlineStr">
        <is>
          <t>Certificado de ausencia de inhabilidades e incompatibilidades firmado por el RL; cruce con libro de accionistas.</t>
        </is>
      </c>
      <c r="G58" s="216" t="inlineStr">
        <is>
          <t>RL / Junta Directiva</t>
        </is>
      </c>
      <c r="H58" s="217" t="n">
        <v>3</v>
      </c>
      <c r="I58" s="218" t="inlineStr">
        <is>
          <t>Cumple totalmente</t>
        </is>
      </c>
      <c r="J58" s="219">
        <f>IF(I58="","",IF(I58="No aplica","N/A",INDEX(Escala!$C$5:$C$9,MATCH(I58,Escala!$B$5:$B$9,0))))</f>
        <v/>
      </c>
      <c r="K58" s="146" t="inlineStr">
        <is>
          <t>Certificado de ausencia de inhabilidades firmado por el RL (feb. 2026).</t>
        </is>
      </c>
      <c r="L58" s="146" t="n"/>
      <c r="M58" s="146" t="n"/>
      <c r="N58" s="146" t="n"/>
      <c r="O58" s="220" t="n"/>
      <c r="P58" s="218" t="n"/>
      <c r="Q58" s="221">
        <f>IF(I58="No aplica",0,H58)</f>
        <v/>
      </c>
      <c r="R58" s="221">
        <f>IF(ISNUMBER(J58),J58*H58,0)</f>
        <v/>
      </c>
    </row>
    <row r="59" ht="49" customHeight="1">
      <c r="A59" s="210" t="inlineStr">
        <is>
          <t>S-47</t>
        </is>
      </c>
      <c r="B59" s="211" t="inlineStr">
        <is>
          <t>06. Oficial de Cumplimiento: estructura, requisitos e inhabilidades</t>
        </is>
      </c>
      <c r="C59" s="212" t="inlineStr">
        <is>
          <t>9.9.4</t>
        </is>
      </c>
      <c r="D59" s="213" t="inlineStr">
        <is>
          <t>183</t>
        </is>
      </c>
      <c r="E59" s="214" t="inlineStr">
        <is>
          <t>Informar a la Supersociedades la designación del OC principal y suplente, mediante el informe no financiero, dentro de los 15 días hábiles siguientes a la reunión de designación.</t>
        </is>
      </c>
      <c r="F59" s="215" t="inlineStr">
        <is>
          <t>Constancia de radicación con fecha dentro del plazo.</t>
        </is>
      </c>
      <c r="G59" s="216" t="inlineStr">
        <is>
          <t>RL / OC</t>
        </is>
      </c>
      <c r="H59" s="217" t="n">
        <v>3</v>
      </c>
      <c r="I59" s="218" t="inlineStr">
        <is>
          <t>Cumple totalmente</t>
        </is>
      </c>
      <c r="J59" s="219">
        <f>IF(I59="","",IF(I59="No aplica","N/A",INDEX(Escala!$C$5:$C$9,MATCH(I59,Escala!$B$5:$B$9,0))))</f>
        <v/>
      </c>
      <c r="K59" s="146" t="inlineStr">
        <is>
          <t>Informe no financiero radicado 3 días hábiles después de la designación.</t>
        </is>
      </c>
      <c r="L59" s="146" t="n"/>
      <c r="M59" s="146" t="n"/>
      <c r="N59" s="146" t="n"/>
      <c r="O59" s="220" t="n"/>
      <c r="P59" s="218" t="n"/>
      <c r="Q59" s="221">
        <f>IF(I59="No aplica",0,H59)</f>
        <v/>
      </c>
      <c r="R59" s="221">
        <f>IF(ISNUMBER(J59),J59*H59,0)</f>
        <v/>
      </c>
    </row>
    <row r="60" ht="62" customHeight="1">
      <c r="A60" s="210" t="inlineStr">
        <is>
          <t>S-48</t>
        </is>
      </c>
      <c r="B60" s="211" t="inlineStr">
        <is>
          <t>06. Oficial de Cumplimiento: estructura, requisitos e inhabilidades</t>
        </is>
      </c>
      <c r="C60" s="212" t="inlineStr">
        <is>
          <t>9.9.4</t>
        </is>
      </c>
      <c r="D60" s="213" t="inlineStr">
        <is>
          <t>183-184</t>
        </is>
      </c>
      <c r="E60" s="214" t="inlineStr">
        <is>
          <t>Anexar al informe: hoja de vida, certificación de requisitos, registro SIREL, extracto del acta, soporte de conocimientos y certificado de ausencia de inhabilidades firmado por el RL.</t>
        </is>
      </c>
      <c r="F60" s="215" t="inlineStr">
        <is>
          <t>Los 6 anexos archivados junto con la radicación.</t>
        </is>
      </c>
      <c r="G60" s="216" t="inlineStr">
        <is>
          <t>RL / OC</t>
        </is>
      </c>
      <c r="H60" s="217" t="n">
        <v>2</v>
      </c>
      <c r="I60" s="218" t="inlineStr">
        <is>
          <t>Cumple en gran medida</t>
        </is>
      </c>
      <c r="J60" s="219">
        <f>IF(I60="","",IF(I60="No aplica","N/A",INDEX(Escala!$C$5:$C$9,MATCH(I60,Escala!$B$5:$B$9,0))))</f>
        <v/>
      </c>
      <c r="K60" s="146" t="inlineStr">
        <is>
          <t>Radicación con 5 de los 6 anexos.</t>
        </is>
      </c>
      <c r="L60" s="146" t="inlineStr">
        <is>
          <t>Falta la constancia de registro SIREL del suplente.</t>
        </is>
      </c>
      <c r="M60" s="146" t="inlineStr">
        <is>
          <t>Completar el anexo (ver S-110).</t>
        </is>
      </c>
      <c r="N60" s="146" t="inlineStr">
        <is>
          <t>Oficial de Cumplimiento</t>
        </is>
      </c>
      <c r="O60" s="220" t="n">
        <v>46341</v>
      </c>
      <c r="P60" s="218" t="inlineStr">
        <is>
          <t>En curso</t>
        </is>
      </c>
      <c r="Q60" s="221">
        <f>IF(I60="No aplica",0,H60)</f>
        <v/>
      </c>
      <c r="R60" s="221">
        <f>IF(ISNUMBER(J60),J60*H60,0)</f>
        <v/>
      </c>
    </row>
    <row r="61" ht="62" customHeight="1">
      <c r="A61" s="210" t="inlineStr">
        <is>
          <t>S-49</t>
        </is>
      </c>
      <c r="B61" s="211" t="inlineStr">
        <is>
          <t>06. Oficial de Cumplimiento: estructura, requisitos e inhabilidades</t>
        </is>
      </c>
      <c r="C61" s="212" t="inlineStr">
        <is>
          <t>9.9.4</t>
        </is>
      </c>
      <c r="D61" s="213" t="inlineStr">
        <is>
          <t>183</t>
        </is>
      </c>
      <c r="E61" s="214" t="inlineStr">
        <is>
          <t>Ante retiro del OC: el saliente remite el informe no financiero (o el RL) y pide cancelar su usuario SIREL; se designa reemplazo en máx. 30 días calendario; el RL asume temporalmente si faltan ambos.</t>
        </is>
      </c>
      <c r="F61" s="215" t="inlineStr">
        <is>
          <t>Procedimiento de relevo documentado; evidencias si ha ocurrido algún relevo.</t>
        </is>
      </c>
      <c r="G61" s="216" t="inlineStr">
        <is>
          <t>RL / OC</t>
        </is>
      </c>
      <c r="H61" s="217" t="n">
        <v>2</v>
      </c>
      <c r="I61" s="218" t="inlineStr">
        <is>
          <t>Cumplimiento incipiente</t>
        </is>
      </c>
      <c r="J61" s="219">
        <f>IF(I61="","",IF(I61="No aplica","N/A",INDEX(Escala!$C$5:$C$9,MATCH(I61,Escala!$B$5:$B$9,0))))</f>
        <v/>
      </c>
      <c r="K61" s="146" t="inlineStr">
        <is>
          <t>No existe procedimiento escrito para el relevo del OC.</t>
        </is>
      </c>
      <c r="L61" s="146" t="inlineStr">
        <is>
          <t>Sin procedimiento.</t>
        </is>
      </c>
      <c r="M61" s="146" t="inlineStr">
        <is>
          <t>Incluir el procedimiento de relevo en el Manual.</t>
        </is>
      </c>
      <c r="N61" s="146" t="inlineStr">
        <is>
          <t>Oficial de Cumplimiento</t>
        </is>
      </c>
      <c r="O61" s="220" t="n">
        <v>46418</v>
      </c>
      <c r="P61" s="218" t="inlineStr">
        <is>
          <t>Pendiente</t>
        </is>
      </c>
      <c r="Q61" s="221">
        <f>IF(I61="No aplica",0,H61)</f>
        <v/>
      </c>
      <c r="R61" s="221">
        <f>IF(ISNUMBER(J61),J61*H61,0)</f>
        <v/>
      </c>
    </row>
    <row r="62" ht="36" customHeight="1">
      <c r="A62" s="210" t="inlineStr">
        <is>
          <t>S-50</t>
        </is>
      </c>
      <c r="B62" s="211" t="inlineStr">
        <is>
          <t>06. Oficial de Cumplimiento: estructura, requisitos e inhabilidades</t>
        </is>
      </c>
      <c r="C62" s="212" t="inlineStr">
        <is>
          <t>9.9.4</t>
        </is>
      </c>
      <c r="D62" s="213" t="inlineStr">
        <is>
          <t>183</t>
        </is>
      </c>
      <c r="E62" s="214" t="inlineStr">
        <is>
          <t>En sucursales de sociedad extranjera, el nombramiento del OC lo efectúa el órgano competente de la casa matriz.</t>
        </is>
      </c>
      <c r="F62" s="215" t="inlineStr">
        <is>
          <t>Acta de la casa matriz (marcar 'No aplica' si no es sucursal).</t>
        </is>
      </c>
      <c r="G62" s="216" t="inlineStr">
        <is>
          <t>Casa matriz</t>
        </is>
      </c>
      <c r="H62" s="217" t="n">
        <v>1</v>
      </c>
      <c r="I62" s="218" t="inlineStr">
        <is>
          <t>No aplica</t>
        </is>
      </c>
      <c r="J62" s="219">
        <f>IF(I62="","",IF(I62="No aplica","N/A",INDEX(Escala!$C$5:$C$9,MATCH(I62,Escala!$B$5:$B$9,0))))</f>
        <v/>
      </c>
      <c r="K62" s="146" t="inlineStr">
        <is>
          <t>La Empresa no es sucursal de sociedad extranjera.</t>
        </is>
      </c>
      <c r="L62" s="146" t="n"/>
      <c r="M62" s="146" t="n"/>
      <c r="N62" s="146" t="n"/>
      <c r="O62" s="220" t="n"/>
      <c r="P62" s="218" t="n"/>
      <c r="Q62" s="221">
        <f>IF(I62="No aplica",0,H62)</f>
        <v/>
      </c>
      <c r="R62" s="221">
        <f>IF(ISNUMBER(J62),J62*H62,0)</f>
        <v/>
      </c>
    </row>
    <row r="63" ht="24" customHeight="1">
      <c r="A63" s="206" t="inlineStr">
        <is>
          <t>07  ·  Funciones del Oficial de Cumplimiento     (9 requisitos)</t>
        </is>
      </c>
      <c r="B63" s="207" t="n"/>
      <c r="C63" s="207" t="n"/>
      <c r="D63" s="207" t="n"/>
      <c r="E63" s="207" t="n"/>
      <c r="F63" s="207" t="n"/>
      <c r="G63" s="207" t="n"/>
      <c r="H63" s="207" t="n"/>
      <c r="I63" s="208" t="n"/>
      <c r="J63" s="209">
        <f>IFERROR(SUMIFS($R$7:$R$400,$B$7:$B$400,"07. Funciones del Oficial de Cumplimiento")/SUMIFS($Q$7:$Q$400,$B$7:$B$400,"07. Funciones del Oficial de Cumplimiento"),"N/A")</f>
        <v/>
      </c>
      <c r="K63" s="208" t="n"/>
      <c r="L63" s="208" t="n"/>
      <c r="M63" s="208" t="n"/>
      <c r="N63" s="208" t="n"/>
      <c r="O63" s="208" t="n"/>
      <c r="P63" s="208" t="n"/>
      <c r="Q63" s="130" t="n"/>
      <c r="R63" s="130" t="n"/>
    </row>
    <row r="64" ht="62" customHeight="1">
      <c r="A64" s="210" t="inlineStr">
        <is>
          <t>S-51</t>
        </is>
      </c>
      <c r="B64" s="211" t="inlineStr">
        <is>
          <t>07. Funciones del Oficial de Cumplimiento</t>
        </is>
      </c>
      <c r="C64" s="212" t="inlineStr">
        <is>
          <t>9.9.5 a-b</t>
        </is>
      </c>
      <c r="D64" s="213" t="inlineStr">
        <is>
          <t>184</t>
        </is>
      </c>
      <c r="E64" s="214" t="inlineStr">
        <is>
          <t>Velar por el cumplimiento efectivo del Sistema y presentar informes a la Junta al menos una vez al año: evaluación individual de actividades, eficiencia y efectividad con evidencias, mejoras y resultados de la gestión.</t>
        </is>
      </c>
      <c r="F64" s="215" t="inlineStr">
        <is>
          <t>Informe anual del OC con los contenidos mínimos y acta de la Junta que lo recibe.</t>
        </is>
      </c>
      <c r="G64" s="216" t="inlineStr">
        <is>
          <t>Oficial de Cumplimiento</t>
        </is>
      </c>
      <c r="H64" s="217" t="n">
        <v>3</v>
      </c>
      <c r="I64" s="218" t="inlineStr">
        <is>
          <t>Cumple parcialmente</t>
        </is>
      </c>
      <c r="J64" s="219">
        <f>IF(I64="","",IF(I64="No aplica","N/A",INDEX(Escala!$C$5:$C$9,MATCH(I64,Escala!$B$5:$B$9,0))))</f>
        <v/>
      </c>
      <c r="K64" s="146" t="inlineStr">
        <is>
          <t>Informe anual 2025 presentado a la Junta.</t>
        </is>
      </c>
      <c r="L64" s="146" t="inlineStr">
        <is>
          <t>No evalúa la efectividad con evidencias ni indicadores.</t>
        </is>
      </c>
      <c r="M64" s="146" t="inlineStr">
        <is>
          <t>Informe 2026 con indicadores y evidencias.</t>
        </is>
      </c>
      <c r="N64" s="146" t="inlineStr">
        <is>
          <t>Oficial de Cumplimiento</t>
        </is>
      </c>
      <c r="O64" s="220" t="n">
        <v>46477</v>
      </c>
      <c r="P64" s="218" t="inlineStr">
        <is>
          <t>Pendiente</t>
        </is>
      </c>
      <c r="Q64" s="221">
        <f>IF(I64="No aplica",0,H64)</f>
        <v/>
      </c>
      <c r="R64" s="221">
        <f>IF(ISNUMBER(J64),J64*H64,0)</f>
        <v/>
      </c>
    </row>
    <row r="65" ht="49" customHeight="1">
      <c r="A65" s="210" t="inlineStr">
        <is>
          <t>S-52</t>
        </is>
      </c>
      <c r="B65" s="211" t="inlineStr">
        <is>
          <t>07. Funciones del Oficial de Cumplimiento</t>
        </is>
      </c>
      <c r="C65" s="212" t="inlineStr">
        <is>
          <t>9.9.5 c</t>
        </is>
      </c>
      <c r="D65" s="213" t="inlineStr">
        <is>
          <t>184</t>
        </is>
      </c>
      <c r="E65" s="214" t="inlineStr">
        <is>
          <t>Promover correctivos y actualizaciones al Sistema cuando se requiera y como mínimo cada dos (2) años, con propuestas justificadas que consten en acta.</t>
        </is>
      </c>
      <c r="F65" s="215" t="inlineStr">
        <is>
          <t>Acta de la última actualización con fecha no mayor a 2 años.</t>
        </is>
      </c>
      <c r="G65" s="216" t="inlineStr">
        <is>
          <t>Oficial de Cumplimiento</t>
        </is>
      </c>
      <c r="H65" s="217" t="n">
        <v>3</v>
      </c>
      <c r="I65" s="218" t="inlineStr">
        <is>
          <t>Cumple en gran medida</t>
        </is>
      </c>
      <c r="J65" s="219">
        <f>IF(I65="","",IF(I65="No aplica","N/A",INDEX(Escala!$C$5:$C$9,MATCH(I65,Escala!$B$5:$B$9,0))))</f>
        <v/>
      </c>
      <c r="K65" s="146" t="inlineStr">
        <is>
          <t>Última actualización aprobada en marzo de 2025.</t>
        </is>
      </c>
      <c r="L65" s="146" t="inlineStr">
        <is>
          <t>La unificación exige una nueva actualización integral.</t>
        </is>
      </c>
      <c r="M65" s="146" t="inlineStr">
        <is>
          <t>Presentar la actualización integral.</t>
        </is>
      </c>
      <c r="N65" s="146" t="inlineStr">
        <is>
          <t>Oficial de Cumplimiento</t>
        </is>
      </c>
      <c r="O65" s="220" t="n">
        <v>46507</v>
      </c>
      <c r="P65" s="218" t="inlineStr">
        <is>
          <t>Pendiente</t>
        </is>
      </c>
      <c r="Q65" s="221">
        <f>IF(I65="No aplica",0,H65)</f>
        <v/>
      </c>
      <c r="R65" s="221">
        <f>IF(ISNUMBER(J65),J65*H65,0)</f>
        <v/>
      </c>
    </row>
    <row r="66" ht="36" customHeight="1">
      <c r="A66" s="210" t="inlineStr">
        <is>
          <t>S-53</t>
        </is>
      </c>
      <c r="B66" s="211" t="inlineStr">
        <is>
          <t>07. Funciones del Oficial de Cumplimiento</t>
        </is>
      </c>
      <c r="C66" s="212" t="inlineStr">
        <is>
          <t>9.9.5 d</t>
        </is>
      </c>
      <c r="D66" s="213" t="inlineStr">
        <is>
          <t>184</t>
        </is>
      </c>
      <c r="E66" s="214" t="inlineStr">
        <is>
          <t>Coordinar y ejecutar los programas internos de capacitación y divulgación.</t>
        </is>
      </c>
      <c r="F66" s="215" t="inlineStr">
        <is>
          <t>Cronograma y evidencias de ejecución.</t>
        </is>
      </c>
      <c r="G66" s="216" t="inlineStr">
        <is>
          <t>Oficial de Cumplimiento</t>
        </is>
      </c>
      <c r="H66" s="217" t="n">
        <v>2</v>
      </c>
      <c r="I66" s="218" t="inlineStr">
        <is>
          <t>Cumple en gran medida</t>
        </is>
      </c>
      <c r="J66" s="219">
        <f>IF(I66="","",IF(I66="No aplica","N/A",INDEX(Escala!$C$5:$C$9,MATCH(I66,Escala!$B$5:$B$9,0))))</f>
        <v/>
      </c>
      <c r="K66" s="146" t="inlineStr">
        <is>
          <t>Cronograma de capacitación 2026 ejecutado en un 90 %.</t>
        </is>
      </c>
      <c r="L66" s="146" t="inlineStr">
        <is>
          <t>Una sesión pendiente.</t>
        </is>
      </c>
      <c r="M66" s="146" t="inlineStr">
        <is>
          <t>Ejecutarla en noviembre.</t>
        </is>
      </c>
      <c r="N66" s="146" t="inlineStr">
        <is>
          <t>Oficial de Cumplimiento</t>
        </is>
      </c>
      <c r="O66" s="220" t="n">
        <v>46356</v>
      </c>
      <c r="P66" s="218" t="inlineStr">
        <is>
          <t>Pendiente</t>
        </is>
      </c>
      <c r="Q66" s="221">
        <f>IF(I66="No aplica",0,H66)</f>
        <v/>
      </c>
      <c r="R66" s="221">
        <f>IF(ISNUMBER(J66),J66*H66,0)</f>
        <v/>
      </c>
    </row>
    <row r="67" ht="49" customHeight="1">
      <c r="A67" s="210" t="inlineStr">
        <is>
          <t>S-54</t>
        </is>
      </c>
      <c r="B67" s="211" t="inlineStr">
        <is>
          <t>07. Funciones del Oficial de Cumplimiento</t>
        </is>
      </c>
      <c r="C67" s="212" t="inlineStr">
        <is>
          <t>9.9.5 e</t>
        </is>
      </c>
      <c r="D67" s="213" t="inlineStr">
        <is>
          <t>184</t>
        </is>
      </c>
      <c r="E67" s="214" t="inlineStr">
        <is>
          <t>Evaluar los informes de auditoría interna/externa y de revisoría fiscal y adoptar medidas razonables frente a las deficiencias (escalando cuando se requiera autorización).</t>
        </is>
      </c>
      <c r="F67" s="215" t="inlineStr">
        <is>
          <t>Matriz de seguimiento de hallazgos con estado de cierre.</t>
        </is>
      </c>
      <c r="G67" s="216" t="inlineStr">
        <is>
          <t>Oficial de Cumplimiento</t>
        </is>
      </c>
      <c r="H67" s="217" t="n">
        <v>2</v>
      </c>
      <c r="I67" s="218" t="inlineStr">
        <is>
          <t>Cumple parcialmente</t>
        </is>
      </c>
      <c r="J67" s="219">
        <f>IF(I67="","",IF(I67="No aplica","N/A",INDEX(Escala!$C$5:$C$9,MATCH(I67,Escala!$B$5:$B$9,0))))</f>
        <v/>
      </c>
      <c r="K67" s="146" t="inlineStr">
        <is>
          <t>El OC recibe el dictamen del Revisor Fiscal.</t>
        </is>
      </c>
      <c r="L67" s="146" t="inlineStr">
        <is>
          <t>No hay matriz de seguimiento de hallazgos.</t>
        </is>
      </c>
      <c r="M67" s="146" t="inlineStr">
        <is>
          <t>Crear la matriz de seguimiento.</t>
        </is>
      </c>
      <c r="N67" s="146" t="inlineStr">
        <is>
          <t>Oficial de Cumplimiento</t>
        </is>
      </c>
      <c r="O67" s="220" t="n">
        <v>46371</v>
      </c>
      <c r="P67" s="218" t="inlineStr">
        <is>
          <t>Pendiente</t>
        </is>
      </c>
      <c r="Q67" s="221">
        <f>IF(I67="No aplica",0,H67)</f>
        <v/>
      </c>
      <c r="R67" s="221">
        <f>IF(ISNUMBER(J67),J67*H67,0)</f>
        <v/>
      </c>
    </row>
    <row r="68" ht="49" customHeight="1">
      <c r="A68" s="210" t="inlineStr">
        <is>
          <t>S-55</t>
        </is>
      </c>
      <c r="B68" s="211" t="inlineStr">
        <is>
          <t>07. Funciones del Oficial de Cumplimiento</t>
        </is>
      </c>
      <c r="C68" s="212" t="inlineStr">
        <is>
          <t>9.9.5 g; 9.14.4 e</t>
        </is>
      </c>
      <c r="D68" s="213" t="inlineStr">
        <is>
          <t>184; 190</t>
        </is>
      </c>
      <c r="E68" s="214" t="inlineStr">
        <is>
          <t>Verificar el cumplimiento de la Debida Diligencia y la DDI mediante auditorías periódicas de cumplimiento, según lo disponga el OC.</t>
        </is>
      </c>
      <c r="F68" s="215" t="inlineStr">
        <is>
          <t>Pruebas o muestreos documentados y basados en riesgo sobre expedientes de contrapartes.</t>
        </is>
      </c>
      <c r="G68" s="216" t="inlineStr">
        <is>
          <t>Oficial de Cumplimiento</t>
        </is>
      </c>
      <c r="H68" s="217" t="n">
        <v>3</v>
      </c>
      <c r="I68" s="218" t="inlineStr">
        <is>
          <t>Cumple parcialmente</t>
        </is>
      </c>
      <c r="J68" s="219">
        <f>IF(I68="","",IF(I68="No aplica","N/A",INDEX(Escala!$C$5:$C$9,MATCH(I68,Escala!$B$5:$B$9,0))))</f>
        <v/>
      </c>
      <c r="K68" s="146" t="inlineStr">
        <is>
          <t>Revisión aleatoria de 10 expedientes en 2025.</t>
        </is>
      </c>
      <c r="L68" s="146" t="inlineStr">
        <is>
          <t>La muestra no está documentada ni basada en riesgo.</t>
        </is>
      </c>
      <c r="M68" s="146" t="inlineStr">
        <is>
          <t>Prueba semestral de 30 expedientes según riesgo.</t>
        </is>
      </c>
      <c r="N68" s="146" t="inlineStr">
        <is>
          <t>Oficial de Cumplimiento</t>
        </is>
      </c>
      <c r="O68" s="220" t="n">
        <v>46418</v>
      </c>
      <c r="P68" s="218" t="inlineStr">
        <is>
          <t>Pendiente</t>
        </is>
      </c>
      <c r="Q68" s="221">
        <f>IF(I68="No aplica",0,H68)</f>
        <v/>
      </c>
      <c r="R68" s="221">
        <f>IF(ISNUMBER(J68),J68*H68,0)</f>
        <v/>
      </c>
    </row>
    <row r="69" ht="36" customHeight="1">
      <c r="A69" s="210" t="inlineStr">
        <is>
          <t>S-56</t>
        </is>
      </c>
      <c r="B69" s="211" t="inlineStr">
        <is>
          <t>07. Funciones del Oficial de Cumplimiento</t>
        </is>
      </c>
      <c r="C69" s="212" t="inlineStr">
        <is>
          <t>9.9.5 h</t>
        </is>
      </c>
      <c r="D69" s="213" t="inlineStr">
        <is>
          <t>184</t>
        </is>
      </c>
      <c r="E69" s="214" t="inlineStr">
        <is>
          <t>Velar por el adecuado archivo de los soportes documentales del Sistema.</t>
        </is>
      </c>
      <c r="F69" s="215" t="inlineStr">
        <is>
          <t>Política de archivo e inventario documental.</t>
        </is>
      </c>
      <c r="G69" s="216" t="inlineStr">
        <is>
          <t>Oficial de Cumplimiento</t>
        </is>
      </c>
      <c r="H69" s="217" t="n">
        <v>2</v>
      </c>
      <c r="I69" s="218" t="inlineStr">
        <is>
          <t>Cumple en gran medida</t>
        </is>
      </c>
      <c r="J69" s="219">
        <f>IF(I69="","",IF(I69="No aplica","N/A",INDEX(Escala!$C$5:$C$9,MATCH(I69,Escala!$B$5:$B$9,0))))</f>
        <v/>
      </c>
      <c r="K69" s="146" t="inlineStr">
        <is>
          <t>Archivo digital del OC.</t>
        </is>
      </c>
      <c r="L69" s="146" t="inlineStr">
        <is>
          <t>Expedientes de 2023 en papel sin digitalizar.</t>
        </is>
      </c>
      <c r="M69" s="146" t="inlineStr">
        <is>
          <t>Digitalizar los expedientes.</t>
        </is>
      </c>
      <c r="N69" s="146" t="inlineStr">
        <is>
          <t>Gestión Documental</t>
        </is>
      </c>
      <c r="O69" s="220" t="n">
        <v>46477</v>
      </c>
      <c r="P69" s="218" t="inlineStr">
        <is>
          <t>Pendiente</t>
        </is>
      </c>
      <c r="Q69" s="221">
        <f>IF(I69="No aplica",0,H69)</f>
        <v/>
      </c>
      <c r="R69" s="221">
        <f>IF(ISNUMBER(J69),J69*H69,0)</f>
        <v/>
      </c>
    </row>
    <row r="70" ht="49" customHeight="1">
      <c r="A70" s="210" t="inlineStr">
        <is>
          <t>S-57</t>
        </is>
      </c>
      <c r="B70" s="211" t="inlineStr">
        <is>
          <t>07. Funciones del Oficial de Cumplimiento</t>
        </is>
      </c>
      <c r="C70" s="212" t="inlineStr">
        <is>
          <t>9.9.5 i-j</t>
        </is>
      </c>
      <c r="D70" s="213" t="inlineStr">
        <is>
          <t>184</t>
        </is>
      </c>
      <c r="E70" s="214" t="inlineStr">
        <is>
          <t>Diseñar las metodologías de clasificación, identificación, medición y control del riesgo, ajustadas al Sujeto Obligado, y realizar la evaluación del riesgo.</t>
        </is>
      </c>
      <c r="F70" s="215" t="inlineStr">
        <is>
          <t>Documento metodológico y evaluación de riesgo vigente.</t>
        </is>
      </c>
      <c r="G70" s="216" t="inlineStr">
        <is>
          <t>Oficial de Cumplimiento</t>
        </is>
      </c>
      <c r="H70" s="217" t="n">
        <v>3</v>
      </c>
      <c r="I70" s="218" t="inlineStr">
        <is>
          <t>Cumple parcialmente</t>
        </is>
      </c>
      <c r="J70" s="219">
        <f>IF(I70="","",IF(I70="No aplica","N/A",INDEX(Escala!$C$5:$C$9,MATCH(I70,Escala!$B$5:$B$9,0))))</f>
        <v/>
      </c>
      <c r="K70" s="146" t="inlineStr">
        <is>
          <t>Metodología de riesgos LA/FT de 2023.</t>
        </is>
      </c>
      <c r="L70" s="146" t="inlineStr">
        <is>
          <t>No incluye riesgos de corrupción ni soborno transnacional.</t>
        </is>
      </c>
      <c r="M70" s="146" t="inlineStr">
        <is>
          <t>Integrar C/ST en la metodología.</t>
        </is>
      </c>
      <c r="N70" s="146" t="inlineStr">
        <is>
          <t>Oficial de Cumplimiento</t>
        </is>
      </c>
      <c r="O70" s="220" t="n">
        <v>46446</v>
      </c>
      <c r="P70" s="218" t="inlineStr">
        <is>
          <t>Pendiente</t>
        </is>
      </c>
      <c r="Q70" s="221">
        <f>IF(I70="No aplica",0,H70)</f>
        <v/>
      </c>
      <c r="R70" s="221">
        <f>IF(ISNUMBER(J70),J70*H70,0)</f>
        <v/>
      </c>
    </row>
    <row r="71" ht="49" customHeight="1">
      <c r="A71" s="210" t="inlineStr">
        <is>
          <t>S-59</t>
        </is>
      </c>
      <c r="B71" s="211" t="inlineStr">
        <is>
          <t>07. Funciones del Oficial de Cumplimiento</t>
        </is>
      </c>
      <c r="C71" s="212" t="inlineStr">
        <is>
          <t>9.9.5 n</t>
        </is>
      </c>
      <c r="D71" s="213" t="inlineStr">
        <is>
          <t>185</t>
        </is>
      </c>
      <c r="E71" s="214" t="inlineStr">
        <is>
          <t>Establecer procedimientos internos de investigación de incumplimientos del Sistema y un marco sancionador para los infractores.</t>
        </is>
      </c>
      <c r="F71" s="215" t="inlineStr">
        <is>
          <t>Procedimiento de investigación interna aprobado; casos documentados.</t>
        </is>
      </c>
      <c r="G71" s="216" t="inlineStr">
        <is>
          <t>Oficial de Cumplimiento</t>
        </is>
      </c>
      <c r="H71" s="217" t="n">
        <v>3</v>
      </c>
      <c r="I71" s="218" t="inlineStr">
        <is>
          <t>No cumple</t>
        </is>
      </c>
      <c r="J71" s="219">
        <f>IF(I71="","",IF(I71="No aplica","N/A",INDEX(Escala!$C$5:$C$9,MATCH(I71,Escala!$B$5:$B$9,0))))</f>
        <v/>
      </c>
      <c r="K71" s="146" t="inlineStr">
        <is>
          <t>No hay procedimiento de investigación interna.</t>
        </is>
      </c>
      <c r="L71" s="146" t="inlineStr">
        <is>
          <t>Sin procedimiento ni marco sancionador.</t>
        </is>
      </c>
      <c r="M71" s="146" t="inlineStr">
        <is>
          <t>Adoptar procedimiento y marco sancionador.</t>
        </is>
      </c>
      <c r="N71" s="146" t="inlineStr">
        <is>
          <t>Oficial de Cumplimiento</t>
        </is>
      </c>
      <c r="O71" s="220" t="n">
        <v>46446</v>
      </c>
      <c r="P71" s="218" t="inlineStr">
        <is>
          <t>Pendiente</t>
        </is>
      </c>
      <c r="Q71" s="221">
        <f>IF(I71="No aplica",0,H71)</f>
        <v/>
      </c>
      <c r="R71" s="221">
        <f>IF(ISNUMBER(J71),J71*H71,0)</f>
        <v/>
      </c>
    </row>
    <row r="72" ht="49" customHeight="1">
      <c r="A72" s="210" t="inlineStr">
        <is>
          <t>S-60</t>
        </is>
      </c>
      <c r="B72" s="211" t="inlineStr">
        <is>
          <t>07. Funciones del Oficial de Cumplimiento</t>
        </is>
      </c>
      <c r="C72" s="212" t="inlineStr">
        <is>
          <t>9.9.5 f, o</t>
        </is>
      </c>
      <c r="D72" s="213" t="inlineStr">
        <is>
          <t>184-185</t>
        </is>
      </c>
      <c r="E72" s="214" t="inlineStr">
        <is>
          <t>Certificar ante la Supersociedades el cumplimiento cuando se requiera y atender, con el RL y el revisor fiscal, sus diligencias virtuales o in situ.</t>
        </is>
      </c>
      <c r="F72" s="215" t="inlineStr">
        <is>
          <t>Registro de requerimientos y respuestas.</t>
        </is>
      </c>
      <c r="G72" s="216" t="inlineStr">
        <is>
          <t>Oficial de Cumplimiento</t>
        </is>
      </c>
      <c r="H72" s="217" t="n">
        <v>1</v>
      </c>
      <c r="I72" s="218" t="inlineStr">
        <is>
          <t>Cumple totalmente</t>
        </is>
      </c>
      <c r="J72" s="219">
        <f>IF(I72="","",IF(I72="No aplica","N/A",INDEX(Escala!$C$5:$C$9,MATCH(I72,Escala!$B$5:$B$9,0))))</f>
        <v/>
      </c>
      <c r="K72" s="146" t="inlineStr">
        <is>
          <t>Atendió la visita virtual de la Supersociedades en 2025.</t>
        </is>
      </c>
      <c r="L72" s="146" t="n"/>
      <c r="M72" s="146" t="n"/>
      <c r="N72" s="146" t="n"/>
      <c r="O72" s="220" t="n"/>
      <c r="P72" s="218" t="n"/>
      <c r="Q72" s="221">
        <f>IF(I72="No aplica",0,H72)</f>
        <v/>
      </c>
      <c r="R72" s="221">
        <f>IF(ISNUMBER(J72),J72*H72,0)</f>
        <v/>
      </c>
    </row>
    <row r="73" ht="24" customHeight="1">
      <c r="A73" s="206" t="inlineStr">
        <is>
          <t>08  ·  Revisoría fiscal y auditorías     (5 requisitos)</t>
        </is>
      </c>
      <c r="B73" s="207" t="n"/>
      <c r="C73" s="207" t="n"/>
      <c r="D73" s="207" t="n"/>
      <c r="E73" s="207" t="n"/>
      <c r="F73" s="207" t="n"/>
      <c r="G73" s="207" t="n"/>
      <c r="H73" s="207" t="n"/>
      <c r="I73" s="208" t="n"/>
      <c r="J73" s="209">
        <f>IFERROR(SUMIFS($R$7:$R$400,$B$7:$B$400,"08. Revisoría fiscal y auditorías")/SUMIFS($Q$7:$Q$400,$B$7:$B$400,"08. Revisoría fiscal y auditorías"),"N/A")</f>
        <v/>
      </c>
      <c r="K73" s="208" t="n"/>
      <c r="L73" s="208" t="n"/>
      <c r="M73" s="208" t="n"/>
      <c r="N73" s="208" t="n"/>
      <c r="O73" s="208" t="n"/>
      <c r="P73" s="208" t="n"/>
      <c r="Q73" s="130" t="n"/>
      <c r="R73" s="130" t="n"/>
    </row>
    <row r="74" ht="49" customHeight="1">
      <c r="A74" s="210" t="inlineStr">
        <is>
          <t>S-61</t>
        </is>
      </c>
      <c r="B74" s="211" t="inlineStr">
        <is>
          <t>08. Revisoría fiscal y auditorías</t>
        </is>
      </c>
      <c r="C74" s="212" t="inlineStr">
        <is>
          <t>9.11</t>
        </is>
      </c>
      <c r="D74" s="213" t="inlineStr">
        <is>
          <t>185</t>
        </is>
      </c>
      <c r="E74" s="214" t="inlineStr">
        <is>
          <t>El revisor fiscal solicita usuario y contraseña en SIREL al iniciar su designación y reporta a la UIAF las operaciones sospechosas que advierta (art. 207 num. 10 C. Co.).</t>
        </is>
      </c>
      <c r="F74" s="215" t="inlineStr">
        <is>
          <t>Constancia de registro SIREL del revisor fiscal.</t>
        </is>
      </c>
      <c r="G74" s="216" t="inlineStr">
        <is>
          <t>Revisor fiscal</t>
        </is>
      </c>
      <c r="H74" s="217" t="n">
        <v>2</v>
      </c>
      <c r="I74" s="218" t="inlineStr">
        <is>
          <t>Cumple totalmente</t>
        </is>
      </c>
      <c r="J74" s="219">
        <f>IF(I74="","",IF(I74="No aplica","N/A",INDEX(Escala!$C$5:$C$9,MATCH(I74,Escala!$B$5:$B$9,0))))</f>
        <v/>
      </c>
      <c r="K74" s="146" t="inlineStr">
        <is>
          <t>El Revisor Fiscal tiene usuario SIREL activo.</t>
        </is>
      </c>
      <c r="L74" s="146" t="n"/>
      <c r="M74" s="146" t="n"/>
      <c r="N74" s="146" t="n"/>
      <c r="O74" s="220" t="n"/>
      <c r="P74" s="218" t="n"/>
      <c r="Q74" s="221">
        <f>IF(I74="No aplica",0,H74)</f>
        <v/>
      </c>
      <c r="R74" s="221">
        <f>IF(ISNUMBER(J74),J74*H74,0)</f>
        <v/>
      </c>
    </row>
    <row r="75" ht="49" customHeight="1">
      <c r="A75" s="210" t="inlineStr">
        <is>
          <t>S-62</t>
        </is>
      </c>
      <c r="B75" s="211" t="inlineStr">
        <is>
          <t>08. Revisoría fiscal y auditorías</t>
        </is>
      </c>
      <c r="C75" s="212" t="inlineStr">
        <is>
          <t>9.11</t>
        </is>
      </c>
      <c r="D75" s="213" t="inlineStr">
        <is>
          <t>186</t>
        </is>
      </c>
      <c r="E75" s="214" t="inlineStr">
        <is>
          <t>El revisor fiscal valora el Sistema (integrado con transparencia y ética empresarial) y emite opinión sobre su existencia y funcionamiento (par. 4 art. 9 Ley 2195/2022).</t>
        </is>
      </c>
      <c r="F75" s="215" t="inlineStr">
        <is>
          <t>Dictamen o informe del revisor fiscal con opinión expresa sobre el Sistema.</t>
        </is>
      </c>
      <c r="G75" s="216" t="inlineStr">
        <is>
          <t>Revisor fiscal</t>
        </is>
      </c>
      <c r="H75" s="217" t="n">
        <v>3</v>
      </c>
      <c r="I75" s="218" t="inlineStr">
        <is>
          <t>Cumple parcialmente</t>
        </is>
      </c>
      <c r="J75" s="219">
        <f>IF(I75="","",IF(I75="No aplica","N/A",INDEX(Escala!$C$5:$C$9,MATCH(I75,Escala!$B$5:$B$9,0))))</f>
        <v/>
      </c>
      <c r="K75" s="146" t="inlineStr">
        <is>
          <t>El dictamen 2025 opina sobre el SAGRILAFT.</t>
        </is>
      </c>
      <c r="L75" s="146" t="inlineStr">
        <is>
          <t>No opina sobre el componente C/ST.</t>
        </is>
      </c>
      <c r="M75" s="146" t="inlineStr">
        <is>
          <t>Solicitar opinión sobre el Sistema integrado en el dictamen 2026.</t>
        </is>
      </c>
      <c r="N75" s="146" t="inlineStr">
        <is>
          <t>Revisor Fiscal / Junta</t>
        </is>
      </c>
      <c r="O75" s="220" t="n">
        <v>46461</v>
      </c>
      <c r="P75" s="218" t="inlineStr">
        <is>
          <t>Pendiente</t>
        </is>
      </c>
      <c r="Q75" s="221">
        <f>IF(I75="No aplica",0,H75)</f>
        <v/>
      </c>
      <c r="R75" s="221">
        <f>IF(ISNUMBER(J75),J75*H75,0)</f>
        <v/>
      </c>
    </row>
    <row r="76" ht="49" customHeight="1">
      <c r="A76" s="210" t="inlineStr">
        <is>
          <t>S-63</t>
        </is>
      </c>
      <c r="B76" s="211" t="inlineStr">
        <is>
          <t>08. Revisoría fiscal y auditorías</t>
        </is>
      </c>
      <c r="C76" s="212" t="inlineStr">
        <is>
          <t>9.11</t>
        </is>
      </c>
      <c r="D76" s="213" t="inlineStr">
        <is>
          <t>185-186</t>
        </is>
      </c>
      <c r="E76" s="214" t="inlineStr">
        <is>
          <t>El revisor fiscal denuncia ante las autoridades los presuntos delitos detectados (art. 57 Ley 2195/2022) dentro de los 6 meses siguientes a conocerlos.</t>
        </is>
      </c>
      <c r="F76" s="215" t="inlineStr">
        <is>
          <t>Procedimiento del revisor fiscal; registro de denuncias si aplica.</t>
        </is>
      </c>
      <c r="G76" s="216" t="inlineStr">
        <is>
          <t>Revisor fiscal</t>
        </is>
      </c>
      <c r="H76" s="217" t="n">
        <v>1</v>
      </c>
      <c r="I76" s="218" t="inlineStr">
        <is>
          <t>Cumple en gran medida</t>
        </is>
      </c>
      <c r="J76" s="219">
        <f>IF(I76="","",IF(I76="No aplica","N/A",INDEX(Escala!$C$5:$C$9,MATCH(I76,Escala!$B$5:$B$9,0))))</f>
        <v/>
      </c>
      <c r="K76" s="146" t="inlineStr">
        <is>
          <t>El contrato del Revisor Fiscal incluye el deber de denuncia.</t>
        </is>
      </c>
      <c r="L76" s="146" t="inlineStr">
        <is>
          <t>Su procedimiento no está documentado.</t>
        </is>
      </c>
      <c r="M76" s="146" t="inlineStr">
        <is>
          <t>Solicitar su procedimiento escrito.</t>
        </is>
      </c>
      <c r="N76" s="146" t="inlineStr">
        <is>
          <t>Revisor Fiscal</t>
        </is>
      </c>
      <c r="O76" s="220" t="n">
        <v>46418</v>
      </c>
      <c r="P76" s="218" t="inlineStr">
        <is>
          <t>Pendiente</t>
        </is>
      </c>
      <c r="Q76" s="221">
        <f>IF(I76="No aplica",0,H76)</f>
        <v/>
      </c>
      <c r="R76" s="221">
        <f>IF(ISNUMBER(J76),J76*H76,0)</f>
        <v/>
      </c>
    </row>
    <row r="77" ht="49" customHeight="1">
      <c r="A77" s="210" t="inlineStr">
        <is>
          <t>S-64</t>
        </is>
      </c>
      <c r="B77" s="211" t="inlineStr">
        <is>
          <t>08. Revisoría fiscal y auditorías</t>
        </is>
      </c>
      <c r="C77" s="212" t="inlineStr">
        <is>
          <t>9.12</t>
        </is>
      </c>
      <c r="D77" s="213" t="inlineStr">
        <is>
          <t>186</t>
        </is>
      </c>
      <c r="E77" s="214" t="inlineStr">
        <is>
          <t>Incluir planes anuales de auditoría sobre la efectividad, eficiencia y cumplimiento del Sistema, con independencia, y comunicar sus resultados al RL, al OC y a la Junta.</t>
        </is>
      </c>
      <c r="F77" s="215" t="inlineStr">
        <is>
          <t>Plan anual de auditoría con alcance LA/FT/FP y C/ST e informes comunicados a los tres destinatarios.</t>
        </is>
      </c>
      <c r="G77" s="216" t="inlineStr">
        <is>
          <t>Auditoría / Junta Directiva</t>
        </is>
      </c>
      <c r="H77" s="217" t="n">
        <v>3</v>
      </c>
      <c r="I77" s="218" t="inlineStr">
        <is>
          <t>No cumple</t>
        </is>
      </c>
      <c r="J77" s="219">
        <f>IF(I77="","",IF(I77="No aplica","N/A",INDEX(Escala!$C$5:$C$9,MATCH(I77,Escala!$B$5:$B$9,0))))</f>
        <v/>
      </c>
      <c r="K77" s="146" t="inlineStr">
        <is>
          <t>La Empresa no tiene auditoría interna; la auditoría externa no cubre el Sistema.</t>
        </is>
      </c>
      <c r="L77" s="146" t="inlineStr">
        <is>
          <t>Sin plan anual de auditoría del Sistema.</t>
        </is>
      </c>
      <c r="M77" s="146" t="inlineStr">
        <is>
          <t>Incluir el Sistema en el alcance de la auditoría externa 2027.</t>
        </is>
      </c>
      <c r="N77" s="146" t="inlineStr">
        <is>
          <t>Junta Directiva</t>
        </is>
      </c>
      <c r="O77" s="220" t="n">
        <v>46477</v>
      </c>
      <c r="P77" s="218" t="inlineStr">
        <is>
          <t>Pendiente</t>
        </is>
      </c>
      <c r="Q77" s="221">
        <f>IF(I77="No aplica",0,H77)</f>
        <v/>
      </c>
      <c r="R77" s="221">
        <f>IF(ISNUMBER(J77),J77*H77,0)</f>
        <v/>
      </c>
    </row>
    <row r="78" ht="49" customHeight="1">
      <c r="A78" s="210" t="inlineStr">
        <is>
          <t>S-66</t>
        </is>
      </c>
      <c r="B78" s="211" t="inlineStr">
        <is>
          <t>08. Revisoría fiscal y auditorías</t>
        </is>
      </c>
      <c r="C78" s="212" t="inlineStr">
        <is>
          <t>9.13</t>
        </is>
      </c>
      <c r="D78" s="213" t="inlineStr">
        <is>
          <t>186-187</t>
        </is>
      </c>
      <c r="E78" s="214" t="inlineStr">
        <is>
          <t>Considerar conflictos de interés, incompatibilidades e inhabilidades de los responsables (se recomienda el modelo de tres líneas); no designar al revisor fiscal ni al RL como OC.</t>
        </is>
      </c>
      <c r="F78" s="215" t="inlineStr">
        <is>
          <t>Mapa de roles bajo el modelo de tres líneas; declaraciones de conflicto de interés.</t>
        </is>
      </c>
      <c r="G78" s="216" t="inlineStr">
        <is>
          <t>Junta Directiva</t>
        </is>
      </c>
      <c r="H78" s="217" t="n">
        <v>2</v>
      </c>
      <c r="I78" s="218" t="inlineStr">
        <is>
          <t>Cumple parcialmente</t>
        </is>
      </c>
      <c r="J78" s="219">
        <f>IF(I78="","",IF(I78="No aplica","N/A",INDEX(Escala!$C$5:$C$9,MATCH(I78,Escala!$B$5:$B$9,0))))</f>
        <v/>
      </c>
      <c r="K78" s="146" t="inlineStr">
        <is>
          <t>Roles separados en la práctica.</t>
        </is>
      </c>
      <c r="L78" s="146" t="inlineStr">
        <is>
          <t>El modelo de tres líneas no está documentado.</t>
        </is>
      </c>
      <c r="M78" s="146" t="inlineStr">
        <is>
          <t>Documentar el mapa de roles.</t>
        </is>
      </c>
      <c r="N78" s="146" t="inlineStr">
        <is>
          <t>Oficial de Cumplimiento</t>
        </is>
      </c>
      <c r="O78" s="220" t="n">
        <v>46477</v>
      </c>
      <c r="P78" s="218" t="inlineStr">
        <is>
          <t>Pendiente</t>
        </is>
      </c>
      <c r="Q78" s="221">
        <f>IF(I78="No aplica",0,H78)</f>
        <v/>
      </c>
      <c r="R78" s="221">
        <f>IF(ISNUMBER(J78),J78*H78,0)</f>
        <v/>
      </c>
    </row>
    <row r="79" ht="24" customHeight="1">
      <c r="A79" s="206" t="inlineStr">
        <is>
          <t>09  ·  Etapas de gestión del riesgo     (12 requisitos)</t>
        </is>
      </c>
      <c r="B79" s="207" t="n"/>
      <c r="C79" s="207" t="n"/>
      <c r="D79" s="207" t="n"/>
      <c r="E79" s="207" t="n"/>
      <c r="F79" s="207" t="n"/>
      <c r="G79" s="207" t="n"/>
      <c r="H79" s="207" t="n"/>
      <c r="I79" s="208" t="n"/>
      <c r="J79" s="209">
        <f>IFERROR(SUMIFS($R$7:$R$400,$B$7:$B$400,"09. Etapas de gestión del riesgo")/SUMIFS($Q$7:$Q$400,$B$7:$B$400,"09. Etapas de gestión del riesgo"),"N/A")</f>
        <v/>
      </c>
      <c r="K79" s="208" t="n"/>
      <c r="L79" s="208" t="n"/>
      <c r="M79" s="208" t="n"/>
      <c r="N79" s="208" t="n"/>
      <c r="O79" s="208" t="n"/>
      <c r="P79" s="208" t="n"/>
      <c r="Q79" s="130" t="n"/>
      <c r="R79" s="130" t="n"/>
    </row>
    <row r="80" ht="49" customHeight="1">
      <c r="A80" s="210" t="inlineStr">
        <is>
          <t>S-67</t>
        </is>
      </c>
      <c r="B80" s="211" t="inlineStr">
        <is>
          <t>09. Etapas de gestión del riesgo</t>
        </is>
      </c>
      <c r="C80" s="212" t="inlineStr">
        <is>
          <t>9.14</t>
        </is>
      </c>
      <c r="D80" s="213" t="inlineStr">
        <is>
          <t>187</t>
        </is>
      </c>
      <c r="E80" s="214" t="inlineStr">
        <is>
          <t>Diseñar e implementar una matriz de riesgos que cubra todas las etapas de los procesos, con metodologías, herramientas y fuentes de información definidas.</t>
        </is>
      </c>
      <c r="F80" s="215" t="inlineStr">
        <is>
          <t>Matriz de riesgos LA/FT/FP y C/ST vigente y aprobada.</t>
        </is>
      </c>
      <c r="G80" s="216" t="inlineStr">
        <is>
          <t>Oficial de Cumplimiento</t>
        </is>
      </c>
      <c r="H80" s="217" t="n">
        <v>3</v>
      </c>
      <c r="I80" s="218" t="inlineStr">
        <is>
          <t>Cumple en gran medida</t>
        </is>
      </c>
      <c r="J80" s="219">
        <f>IF(I80="","",IF(I80="No aplica","N/A",INDEX(Escala!$C$5:$C$9,MATCH(I80,Escala!$B$5:$B$9,0))))</f>
        <v/>
      </c>
      <c r="K80" s="146" t="inlineStr">
        <is>
          <t>Matriz de riesgos LA/FT 2025 por procesos.</t>
        </is>
      </c>
      <c r="L80" s="146" t="inlineStr">
        <is>
          <t>No incluye riesgos C/ST.</t>
        </is>
      </c>
      <c r="M80" s="146" t="inlineStr">
        <is>
          <t>Integrar C/ST en la matriz.</t>
        </is>
      </c>
      <c r="N80" s="146" t="inlineStr">
        <is>
          <t>Oficial de Cumplimiento</t>
        </is>
      </c>
      <c r="O80" s="220" t="n">
        <v>46446</v>
      </c>
      <c r="P80" s="218" t="inlineStr">
        <is>
          <t>Pendiente</t>
        </is>
      </c>
      <c r="Q80" s="221">
        <f>IF(I80="No aplica",0,H80)</f>
        <v/>
      </c>
      <c r="R80" s="221">
        <f>IF(ISNUMBER(J80),J80*H80,0)</f>
        <v/>
      </c>
    </row>
    <row r="81" ht="49" customHeight="1">
      <c r="A81" s="210" t="inlineStr">
        <is>
          <t>S-68</t>
        </is>
      </c>
      <c r="B81" s="211" t="inlineStr">
        <is>
          <t>09. Etapas de gestión del riesgo</t>
        </is>
      </c>
      <c r="C81" s="212" t="inlineStr">
        <is>
          <t>9.14.1 a</t>
        </is>
      </c>
      <c r="D81" s="213" t="inlineStr">
        <is>
          <t>187</t>
        </is>
      </c>
      <c r="E81" s="214" t="inlineStr">
        <is>
          <t>Identificación: analizar el contexto estratégico, organizacional y de administración de riesgos, el sector y el entorno regulatorio.</t>
        </is>
      </c>
      <c r="F81" s="215" t="inlineStr">
        <is>
          <t>Documento de contexto.</t>
        </is>
      </c>
      <c r="G81" s="216" t="inlineStr">
        <is>
          <t>Oficial de Cumplimiento</t>
        </is>
      </c>
      <c r="H81" s="217" t="n">
        <v>2</v>
      </c>
      <c r="I81" s="218" t="inlineStr">
        <is>
          <t>Cumple en gran medida</t>
        </is>
      </c>
      <c r="J81" s="219">
        <f>IF(I81="","",IF(I81="No aplica","N/A",INDEX(Escala!$C$5:$C$9,MATCH(I81,Escala!$B$5:$B$9,0))))</f>
        <v/>
      </c>
      <c r="K81" s="146" t="inlineStr">
        <is>
          <t>Contexto documentado.</t>
        </is>
      </c>
      <c r="L81" s="146" t="inlineStr">
        <is>
          <t>No incorpora el nuevo marco regulatorio.</t>
        </is>
      </c>
      <c r="M81" s="146" t="inlineStr">
        <is>
          <t>Actualizar con la CE 100-000020 de 2026.</t>
        </is>
      </c>
      <c r="N81" s="146" t="inlineStr">
        <is>
          <t>Oficial de Cumplimiento</t>
        </is>
      </c>
      <c r="O81" s="220" t="n">
        <v>46371</v>
      </c>
      <c r="P81" s="218" t="inlineStr">
        <is>
          <t>Pendiente</t>
        </is>
      </c>
      <c r="Q81" s="221">
        <f>IF(I81="No aplica",0,H81)</f>
        <v/>
      </c>
      <c r="R81" s="221">
        <f>IF(ISNUMBER(J81),J81*H81,0)</f>
        <v/>
      </c>
    </row>
    <row r="82" ht="75" customHeight="1">
      <c r="A82" s="210" t="inlineStr">
        <is>
          <t>S-69</t>
        </is>
      </c>
      <c r="B82" s="211" t="inlineStr">
        <is>
          <t>09. Etapas de gestión del riesgo</t>
        </is>
      </c>
      <c r="C82" s="212" t="inlineStr">
        <is>
          <t>9.14.1 b-c</t>
        </is>
      </c>
      <c r="D82" s="213" t="inlineStr">
        <is>
          <t>188</t>
        </is>
      </c>
      <c r="E82" s="214" t="inlineStr">
        <is>
          <t>Clasificar los factores de riesgo (sector, actividad, jurisdicción, zonas, terceros, contratistas, intermediarios, canales, contratos estatales incluso en el extranjero) y su materialidad; para C/ST pueden usarse fuentes OCDE y Transparencia Internacional.</t>
        </is>
      </c>
      <c r="F82" s="215" t="inlineStr">
        <is>
          <t>Inventario de factores de riesgo segmentado.</t>
        </is>
      </c>
      <c r="G82" s="216" t="inlineStr">
        <is>
          <t>Oficial de Cumplimiento</t>
        </is>
      </c>
      <c r="H82" s="217" t="n">
        <v>3</v>
      </c>
      <c r="I82" s="218" t="inlineStr">
        <is>
          <t>Cumple parcialmente</t>
        </is>
      </c>
      <c r="J82" s="219">
        <f>IF(I82="","",IF(I82="No aplica","N/A",INDEX(Escala!$C$5:$C$9,MATCH(I82,Escala!$B$5:$B$9,0))))</f>
        <v/>
      </c>
      <c r="K82" s="146" t="inlineStr">
        <is>
          <t>Factores segmentados: clientes, productos y jurisdicción.</t>
        </is>
      </c>
      <c r="L82" s="146" t="inlineStr">
        <is>
          <t>Faltan canales logísticos, intermediarios y contratos estatales.</t>
        </is>
      </c>
      <c r="M82" s="146" t="inlineStr">
        <is>
          <t>Ampliar la segmentación.</t>
        </is>
      </c>
      <c r="N82" s="146" t="inlineStr">
        <is>
          <t>Oficial de Cumplimiento</t>
        </is>
      </c>
      <c r="O82" s="220" t="n">
        <v>46418</v>
      </c>
      <c r="P82" s="218" t="inlineStr">
        <is>
          <t>Pendiente</t>
        </is>
      </c>
      <c r="Q82" s="221">
        <f>IF(I82="No aplica",0,H82)</f>
        <v/>
      </c>
      <c r="R82" s="221">
        <f>IF(ISNUMBER(J82),J82*H82,0)</f>
        <v/>
      </c>
    </row>
    <row r="83" ht="49" customHeight="1">
      <c r="A83" s="210" t="inlineStr">
        <is>
          <t>S-70</t>
        </is>
      </c>
      <c r="B83" s="211" t="inlineStr">
        <is>
          <t>09. Etapas de gestión del riesgo</t>
        </is>
      </c>
      <c r="C83" s="212" t="inlineStr">
        <is>
          <t>9.14.1 d</t>
        </is>
      </c>
      <c r="D83" s="213" t="inlineStr">
        <is>
          <t>188</t>
        </is>
      </c>
      <c r="E83" s="214" t="inlineStr">
        <is>
          <t>Establecer metodologías para identificar e individualizar los riesgos específicos a partir de la segmentación de factores.</t>
        </is>
      </c>
      <c r="F83" s="215" t="inlineStr">
        <is>
          <t>Metodología de identificación y listado de eventos de riesgo.</t>
        </is>
      </c>
      <c r="G83" s="216" t="inlineStr">
        <is>
          <t>Oficial de Cumplimiento</t>
        </is>
      </c>
      <c r="H83" s="217" t="n">
        <v>3</v>
      </c>
      <c r="I83" s="218" t="inlineStr">
        <is>
          <t>Cumple en gran medida</t>
        </is>
      </c>
      <c r="J83" s="219">
        <f>IF(I83="","",IF(I83="No aplica","N/A",INDEX(Escala!$C$5:$C$9,MATCH(I83,Escala!$B$5:$B$9,0))))</f>
        <v/>
      </c>
      <c r="K83" s="146" t="inlineStr">
        <is>
          <t>Eventos de riesgo identificados por proceso.</t>
        </is>
      </c>
      <c r="L83" s="146" t="inlineStr">
        <is>
          <t>No hay eventos de corrupción.</t>
        </is>
      </c>
      <c r="M83" s="146" t="inlineStr">
        <is>
          <t>Agregar eventos C/ST.</t>
        </is>
      </c>
      <c r="N83" s="146" t="inlineStr">
        <is>
          <t>Oficial de Cumplimiento</t>
        </is>
      </c>
      <c r="O83" s="220" t="n">
        <v>46446</v>
      </c>
      <c r="P83" s="218" t="inlineStr">
        <is>
          <t>Pendiente</t>
        </is>
      </c>
      <c r="Q83" s="221">
        <f>IF(I83="No aplica",0,H83)</f>
        <v/>
      </c>
      <c r="R83" s="221">
        <f>IF(ISNUMBER(J83),J83*H83,0)</f>
        <v/>
      </c>
    </row>
    <row r="84" ht="49" customHeight="1">
      <c r="A84" s="210" t="inlineStr">
        <is>
          <t>S-72</t>
        </is>
      </c>
      <c r="B84" s="211" t="inlineStr">
        <is>
          <t>09. Etapas de gestión del riesgo</t>
        </is>
      </c>
      <c r="C84" s="212" t="inlineStr">
        <is>
          <t>9.14.1</t>
        </is>
      </c>
      <c r="D84" s="213" t="inlineStr">
        <is>
          <t>187</t>
        </is>
      </c>
      <c r="E84" s="214" t="inlineStr">
        <is>
          <t>Revisar la identificación periódicamente y ante cambios significativos (productos, servicios, canales, jurisdicciones, clientes, normativa).</t>
        </is>
      </c>
      <c r="F84" s="215" t="inlineStr">
        <is>
          <t>Control de versiones de la matriz con fechas y motivos de actualización.</t>
        </is>
      </c>
      <c r="G84" s="216" t="inlineStr">
        <is>
          <t>Oficial de Cumplimiento</t>
        </is>
      </c>
      <c r="H84" s="217" t="n">
        <v>2</v>
      </c>
      <c r="I84" s="218" t="inlineStr">
        <is>
          <t>Cumple parcialmente</t>
        </is>
      </c>
      <c r="J84" s="219">
        <f>IF(I84="","",IF(I84="No aplica","N/A",INDEX(Escala!$C$5:$C$9,MATCH(I84,Escala!$B$5:$B$9,0))))</f>
        <v/>
      </c>
      <c r="K84" s="146" t="inlineStr">
        <is>
          <t>La matriz se actualiza cada 2 años.</t>
        </is>
      </c>
      <c r="L84" s="146" t="inlineStr">
        <is>
          <t>No se actualizó al abrir el mercado de EE. UU. en 2026.</t>
        </is>
      </c>
      <c r="M84" s="146" t="inlineStr">
        <is>
          <t>Actualizar por nuevo mercado.</t>
        </is>
      </c>
      <c r="N84" s="146" t="inlineStr">
        <is>
          <t>Oficial de Cumplimiento</t>
        </is>
      </c>
      <c r="O84" s="220" t="n">
        <v>46371</v>
      </c>
      <c r="P84" s="218" t="inlineStr">
        <is>
          <t>Pendiente</t>
        </is>
      </c>
      <c r="Q84" s="221">
        <f>IF(I84="No aplica",0,H84)</f>
        <v/>
      </c>
      <c r="R84" s="221">
        <f>IF(ISNUMBER(J84),J84*H84,0)</f>
        <v/>
      </c>
    </row>
    <row r="85" ht="49" customHeight="1">
      <c r="A85" s="210" t="inlineStr">
        <is>
          <t>S-73</t>
        </is>
      </c>
      <c r="B85" s="211" t="inlineStr">
        <is>
          <t>09. Etapas de gestión del riesgo</t>
        </is>
      </c>
      <c r="C85" s="212" t="inlineStr">
        <is>
          <t>9.14.2 a-b</t>
        </is>
      </c>
      <c r="D85" s="213" t="inlineStr">
        <is>
          <t>188</t>
        </is>
      </c>
      <c r="E85" s="214" t="inlineStr">
        <is>
          <t>Medición: metodología de probabilidad e impacto; mediciones individuales y consolidadas por factor y riesgo; perfil de riesgo inherente.</t>
        </is>
      </c>
      <c r="F85" s="215" t="inlineStr">
        <is>
          <t>Matriz con calificación de probabilidad × impacto y perfil inherente consolidado.</t>
        </is>
      </c>
      <c r="G85" s="216" t="inlineStr">
        <is>
          <t>Oficial de Cumplimiento</t>
        </is>
      </c>
      <c r="H85" s="217" t="n">
        <v>3</v>
      </c>
      <c r="I85" s="218" t="inlineStr">
        <is>
          <t>Cumple totalmente</t>
        </is>
      </c>
      <c r="J85" s="219">
        <f>IF(I85="","",IF(I85="No aplica","N/A",INDEX(Escala!$C$5:$C$9,MATCH(I85,Escala!$B$5:$B$9,0))))</f>
        <v/>
      </c>
      <c r="K85" s="146" t="inlineStr">
        <is>
          <t>Mapa de calor 5×5 y perfil inherente consolidado.</t>
        </is>
      </c>
      <c r="L85" s="146" t="n"/>
      <c r="M85" s="146" t="n"/>
      <c r="N85" s="146" t="n"/>
      <c r="O85" s="220" t="n"/>
      <c r="P85" s="218" t="n"/>
      <c r="Q85" s="221">
        <f>IF(I85="No aplica",0,H85)</f>
        <v/>
      </c>
      <c r="R85" s="221">
        <f>IF(ISNUMBER(J85),J85*H85,0)</f>
        <v/>
      </c>
    </row>
    <row r="86" ht="49" customHeight="1">
      <c r="A86" s="210" t="inlineStr">
        <is>
          <t>S-74</t>
        </is>
      </c>
      <c r="B86" s="211" t="inlineStr">
        <is>
          <t>09. Etapas de gestión del riesgo</t>
        </is>
      </c>
      <c r="C86" s="212" t="inlineStr">
        <is>
          <t>9.14.2 c-d</t>
        </is>
      </c>
      <c r="D86" s="213" t="inlineStr">
        <is>
          <t>188</t>
        </is>
      </c>
      <c r="E86" s="214" t="inlineStr">
        <is>
          <t>Evaluar el riesgo al incursionar en nuevos mercados, unidades de negocio o productos, y considerar cambios legislativos en las jurisdicciones donde opera.</t>
        </is>
      </c>
      <c r="F86" s="215" t="inlineStr">
        <is>
          <t>Evaluaciones previas a lanzamientos; registro de cambios normativos analizados.</t>
        </is>
      </c>
      <c r="G86" s="216" t="inlineStr">
        <is>
          <t>Oficial de Cumplimiento</t>
        </is>
      </c>
      <c r="H86" s="217" t="n">
        <v>2</v>
      </c>
      <c r="I86" s="218" t="inlineStr">
        <is>
          <t>No cumple</t>
        </is>
      </c>
      <c r="J86" s="219">
        <f>IF(I86="","",IF(I86="No aplica","N/A",INDEX(Escala!$C$5:$C$9,MATCH(I86,Escala!$B$5:$B$9,0))))</f>
        <v/>
      </c>
      <c r="K86" s="146" t="inlineStr">
        <is>
          <t>Se abrió EE. UU. sin evaluación previa de riesgos.</t>
        </is>
      </c>
      <c r="L86" s="146" t="inlineStr">
        <is>
          <t>Sin procedimiento de evaluación previa.</t>
        </is>
      </c>
      <c r="M86" s="146" t="inlineStr">
        <is>
          <t>Procedimiento de evaluación antes de nuevos mercados o productos.</t>
        </is>
      </c>
      <c r="N86" s="146" t="inlineStr">
        <is>
          <t>Oficial de Cumplimiento</t>
        </is>
      </c>
      <c r="O86" s="220" t="n">
        <v>46418</v>
      </c>
      <c r="P86" s="218" t="inlineStr">
        <is>
          <t>Pendiente</t>
        </is>
      </c>
      <c r="Q86" s="221">
        <f>IF(I86="No aplica",0,H86)</f>
        <v/>
      </c>
      <c r="R86" s="221">
        <f>IF(ISNUMBER(J86),J86*H86,0)</f>
        <v/>
      </c>
    </row>
    <row r="87" ht="49" customHeight="1">
      <c r="A87" s="210" t="inlineStr">
        <is>
          <t>S-75</t>
        </is>
      </c>
      <c r="B87" s="211" t="inlineStr">
        <is>
          <t>09. Etapas de gestión del riesgo</t>
        </is>
      </c>
      <c r="C87" s="212" t="inlineStr">
        <is>
          <t>9.14.3 a-b</t>
        </is>
      </c>
      <c r="D87" s="213" t="inlineStr">
        <is>
          <t>189</t>
        </is>
      </c>
      <c r="E87" s="214" t="inlineStr">
        <is>
          <t>Control: metodologías con acciones suficientes, apropiadas y medibles para mitigar el riesgo y establecer el perfil de riesgo residual considerando la efectividad de los controles.</t>
        </is>
      </c>
      <c r="F87" s="215" t="inlineStr">
        <is>
          <t>Calificación de controles (diseño y ejecución) y perfil residual.</t>
        </is>
      </c>
      <c r="G87" s="216" t="inlineStr">
        <is>
          <t>Oficial de Cumplimiento</t>
        </is>
      </c>
      <c r="H87" s="217" t="n">
        <v>3</v>
      </c>
      <c r="I87" s="218" t="inlineStr">
        <is>
          <t>Cumple en gran medida</t>
        </is>
      </c>
      <c r="J87" s="219">
        <f>IF(I87="","",IF(I87="No aplica","N/A",INDEX(Escala!$C$5:$C$9,MATCH(I87,Escala!$B$5:$B$9,0))))</f>
        <v/>
      </c>
      <c r="K87" s="146" t="inlineStr">
        <is>
          <t>Controles calificados por diseño.</t>
        </is>
      </c>
      <c r="L87" s="146" t="inlineStr">
        <is>
          <t>No se califica su ejecución.</t>
        </is>
      </c>
      <c r="M87" s="146" t="inlineStr">
        <is>
          <t>Pruebas de efectividad de controles.</t>
        </is>
      </c>
      <c r="N87" s="146" t="inlineStr">
        <is>
          <t>Oficial de Cumplimiento</t>
        </is>
      </c>
      <c r="O87" s="220" t="n">
        <v>46477</v>
      </c>
      <c r="P87" s="218" t="inlineStr">
        <is>
          <t>Pendiente</t>
        </is>
      </c>
      <c r="Q87" s="221">
        <f>IF(I87="No aplica",0,H87)</f>
        <v/>
      </c>
      <c r="R87" s="221">
        <f>IF(ISNUMBER(J87),J87*H87,0)</f>
        <v/>
      </c>
    </row>
    <row r="88" ht="36" customHeight="1">
      <c r="A88" s="210" t="inlineStr">
        <is>
          <t>S-76</t>
        </is>
      </c>
      <c r="B88" s="211" t="inlineStr">
        <is>
          <t>09. Etapas de gestión del riesgo</t>
        </is>
      </c>
      <c r="C88" s="212" t="inlineStr">
        <is>
          <t>9.14.3 c</t>
        </is>
      </c>
      <c r="D88" s="213" t="inlineStr">
        <is>
          <t>189</t>
        </is>
      </c>
      <c r="E88" s="214" t="inlineStr">
        <is>
          <t>Los controles deben contribuir a detectar operaciones inusuales y sospechosas (a mayor riesgo, mayor control).</t>
        </is>
      </c>
      <c r="F88" s="215" t="inlineStr">
        <is>
          <t>Controles de detección vinculados a cada riesgo de la matriz.</t>
        </is>
      </c>
      <c r="G88" s="216" t="inlineStr">
        <is>
          <t>Oficial de Cumplimiento</t>
        </is>
      </c>
      <c r="H88" s="217" t="n">
        <v>3</v>
      </c>
      <c r="I88" s="218" t="inlineStr">
        <is>
          <t>Cumple parcialmente</t>
        </is>
      </c>
      <c r="J88" s="219">
        <f>IF(I88="","",IF(I88="No aplica","N/A",INDEX(Escala!$C$5:$C$9,MATCH(I88,Escala!$B$5:$B$9,0))))</f>
        <v/>
      </c>
      <c r="K88" s="146" t="inlineStr">
        <is>
          <t>Consulta en listas y revisión manual de señales.</t>
        </is>
      </c>
      <c r="L88" s="146" t="inlineStr">
        <is>
          <t>Los controles no detectan pagos de terceros.</t>
        </is>
      </c>
      <c r="M88" s="146" t="inlineStr">
        <is>
          <t>Regla de alerta en tesorería para pagos de terceros.</t>
        </is>
      </c>
      <c r="N88" s="146" t="inlineStr">
        <is>
          <t>Director Financiero</t>
        </is>
      </c>
      <c r="O88" s="220" t="n">
        <v>46418</v>
      </c>
      <c r="P88" s="218" t="inlineStr">
        <is>
          <t>Pendiente</t>
        </is>
      </c>
      <c r="Q88" s="221">
        <f>IF(I88="No aplica",0,H88)</f>
        <v/>
      </c>
      <c r="R88" s="221">
        <f>IF(ISNUMBER(J88),J88*H88,0)</f>
        <v/>
      </c>
    </row>
    <row r="89" ht="36" customHeight="1">
      <c r="A89" s="210" t="inlineStr">
        <is>
          <t>S-77</t>
        </is>
      </c>
      <c r="B89" s="211" t="inlineStr">
        <is>
          <t>09. Etapas de gestión del riesgo</t>
        </is>
      </c>
      <c r="C89" s="212" t="inlineStr">
        <is>
          <t>9.14.4 a</t>
        </is>
      </c>
      <c r="D89" s="213" t="inlineStr">
        <is>
          <t>189</t>
        </is>
      </c>
      <c r="E89" s="214" t="inlineStr">
        <is>
          <t>Monitoreo: seguimiento periódico y comparativo del riesgo inherente y residual de cada factor y riesgo asociado.</t>
        </is>
      </c>
      <c r="F89" s="215" t="inlineStr">
        <is>
          <t>Informe comparativo entre periodos.</t>
        </is>
      </c>
      <c r="G89" s="216" t="inlineStr">
        <is>
          <t>Oficial de Cumplimiento</t>
        </is>
      </c>
      <c r="H89" s="217" t="n">
        <v>3</v>
      </c>
      <c r="I89" s="218" t="inlineStr">
        <is>
          <t>Cumplimiento incipiente</t>
        </is>
      </c>
      <c r="J89" s="219">
        <f>IF(I89="","",IF(I89="No aplica","N/A",INDEX(Escala!$C$5:$C$9,MATCH(I89,Escala!$B$5:$B$9,0))))</f>
        <v/>
      </c>
      <c r="K89" s="146" t="inlineStr">
        <is>
          <t>No se compara el riesgo inherente y residual entre periodos.</t>
        </is>
      </c>
      <c r="L89" s="146" t="inlineStr">
        <is>
          <t>Sin informe comparativo.</t>
        </is>
      </c>
      <c r="M89" s="146" t="inlineStr">
        <is>
          <t>Informe comparativo semestral.</t>
        </is>
      </c>
      <c r="N89" s="146" t="inlineStr">
        <is>
          <t>Oficial de Cumplimiento</t>
        </is>
      </c>
      <c r="O89" s="220" t="n">
        <v>46477</v>
      </c>
      <c r="P89" s="218" t="inlineStr">
        <is>
          <t>Pendiente</t>
        </is>
      </c>
      <c r="Q89" s="221">
        <f>IF(I89="No aplica",0,H89)</f>
        <v/>
      </c>
      <c r="R89" s="221">
        <f>IF(ISNUMBER(J89),J89*H89,0)</f>
        <v/>
      </c>
    </row>
    <row r="90" ht="49" customHeight="1">
      <c r="A90" s="210" t="inlineStr">
        <is>
          <t>S-78</t>
        </is>
      </c>
      <c r="B90" s="211" t="inlineStr">
        <is>
          <t>09. Etapas de gestión del riesgo</t>
        </is>
      </c>
      <c r="C90" s="212" t="inlineStr">
        <is>
          <t>9.14.4 b-d</t>
        </is>
      </c>
      <c r="D90" s="213" t="inlineStr">
        <is>
          <t>189-190</t>
        </is>
      </c>
      <c r="E90" s="214" t="inlineStr">
        <is>
          <t>Seguimiento continuo con periodicidad acorde al perfil residual; controles integrales y oportunos; riesgo residual dentro de los niveles de aceptación definidos.</t>
        </is>
      </c>
      <c r="F90" s="215" t="inlineStr">
        <is>
          <t>Niveles de aceptación (apetito/tolerancia) definidos e indicadores de seguimiento.</t>
        </is>
      </c>
      <c r="G90" s="216" t="inlineStr">
        <is>
          <t>Oficial de Cumplimiento</t>
        </is>
      </c>
      <c r="H90" s="217" t="n">
        <v>2</v>
      </c>
      <c r="I90" s="218" t="inlineStr">
        <is>
          <t>No cumple</t>
        </is>
      </c>
      <c r="J90" s="219">
        <f>IF(I90="","",IF(I90="No aplica","N/A",INDEX(Escala!$C$5:$C$9,MATCH(I90,Escala!$B$5:$B$9,0))))</f>
        <v/>
      </c>
      <c r="K90" s="146" t="inlineStr">
        <is>
          <t>Los niveles de aceptación del riesgo no están definidos.</t>
        </is>
      </c>
      <c r="L90" s="146" t="inlineStr">
        <is>
          <t>Sin apetito de riesgo aprobado.</t>
        </is>
      </c>
      <c r="M90" s="146" t="inlineStr">
        <is>
          <t>Junta aprueba niveles de aceptación.</t>
        </is>
      </c>
      <c r="N90" s="146" t="inlineStr">
        <is>
          <t>Junta Directiva</t>
        </is>
      </c>
      <c r="O90" s="220" t="n">
        <v>46418</v>
      </c>
      <c r="P90" s="218" t="inlineStr">
        <is>
          <t>Pendiente</t>
        </is>
      </c>
      <c r="Q90" s="221">
        <f>IF(I90="No aplica",0,H90)</f>
        <v/>
      </c>
      <c r="R90" s="221">
        <f>IF(ISNUMBER(J90),J90*H90,0)</f>
        <v/>
      </c>
    </row>
    <row r="91" ht="49" customHeight="1">
      <c r="A91" s="210" t="inlineStr">
        <is>
          <t>S-80</t>
        </is>
      </c>
      <c r="B91" s="211" t="inlineStr">
        <is>
          <t>09. Etapas de gestión del riesgo</t>
        </is>
      </c>
      <c r="C91" s="212" t="inlineStr">
        <is>
          <t>9.14.4 f; 9.26.2</t>
        </is>
      </c>
      <c r="D91" s="213" t="inlineStr">
        <is>
          <t>190; 204</t>
        </is>
      </c>
      <c r="E91" s="214" t="inlineStr">
        <is>
          <t>(Recomendación, no obligación) Encuestas a empleados y contratistas y sistema de métricas propias para medir la efectividad del Sistema. Peso 0: no afecta el porcentaje.</t>
        </is>
      </c>
      <c r="F91" s="215" t="inlineStr">
        <is>
          <t>Resultados de encuestas; tablero de indicadores (incidentes, tiempos de respuesta, KRI).</t>
        </is>
      </c>
      <c r="G91" s="216" t="inlineStr">
        <is>
          <t>Oficial de Cumplimiento</t>
        </is>
      </c>
      <c r="H91" s="217" t="n">
        <v>0</v>
      </c>
      <c r="I91" s="218" t="inlineStr">
        <is>
          <t>Cumplimiento incipiente</t>
        </is>
      </c>
      <c r="J91" s="219">
        <f>IF(I91="","",IF(I91="No aplica","N/A",INDEX(Escala!$C$5:$C$9,MATCH(I91,Escala!$B$5:$B$9,0))))</f>
        <v/>
      </c>
      <c r="K91" s="146" t="inlineStr">
        <is>
          <t>Sin encuestas ni indicadores.</t>
        </is>
      </c>
      <c r="L91" s="146" t="inlineStr">
        <is>
          <t>Recomendación de la Circular (peso 0, no afecta el %).</t>
        </is>
      </c>
      <c r="M91" s="146" t="inlineStr">
        <is>
          <t>Tablero de 6 indicadores.</t>
        </is>
      </c>
      <c r="N91" s="146" t="inlineStr">
        <is>
          <t>Oficial de Cumplimiento</t>
        </is>
      </c>
      <c r="O91" s="220" t="n">
        <v>46568</v>
      </c>
      <c r="P91" s="218" t="inlineStr">
        <is>
          <t>Pendiente</t>
        </is>
      </c>
      <c r="Q91" s="221">
        <f>IF(I91="No aplica",0,H91)</f>
        <v/>
      </c>
      <c r="R91" s="221">
        <f>IF(ISNUMBER(J91),J91*H91,0)</f>
        <v/>
      </c>
    </row>
    <row r="92" ht="24" customHeight="1">
      <c r="A92" s="206" t="inlineStr">
        <is>
          <t>10  ·  Debida diligencia     (15 requisitos)</t>
        </is>
      </c>
      <c r="B92" s="207" t="n"/>
      <c r="C92" s="207" t="n"/>
      <c r="D92" s="207" t="n"/>
      <c r="E92" s="207" t="n"/>
      <c r="F92" s="207" t="n"/>
      <c r="G92" s="207" t="n"/>
      <c r="H92" s="207" t="n"/>
      <c r="I92" s="208" t="n"/>
      <c r="J92" s="209">
        <f>IFERROR(SUMIFS($R$7:$R$400,$B$7:$B$400,"10. Debida diligencia")/SUMIFS($Q$7:$Q$400,$B$7:$B$400,"10. Debida diligencia"),"N/A")</f>
        <v/>
      </c>
      <c r="K92" s="208" t="n"/>
      <c r="L92" s="208" t="n"/>
      <c r="M92" s="208" t="n"/>
      <c r="N92" s="208" t="n"/>
      <c r="O92" s="208" t="n"/>
      <c r="P92" s="208" t="n"/>
      <c r="Q92" s="130" t="n"/>
      <c r="R92" s="130" t="n"/>
    </row>
    <row r="93" ht="62" customHeight="1">
      <c r="A93" s="210" t="inlineStr">
        <is>
          <t>S-81</t>
        </is>
      </c>
      <c r="B93" s="211" t="inlineStr">
        <is>
          <t>10. Debida diligencia</t>
        </is>
      </c>
      <c r="C93" s="212" t="inlineStr">
        <is>
          <t>9.15; 9.14.1 e</t>
        </is>
      </c>
      <c r="D93" s="213" t="inlineStr">
        <is>
          <t>188; 190-191</t>
        </is>
      </c>
      <c r="E93" s="214" t="inlineStr">
        <is>
          <t>Debida diligencia con enfoque basado en riesgo: niveles proporcionales, condiciones de tiempo, modo, lugar y prioridad para ejecutarla, y definición de contrapartes, contratos y transacciones que requieren DDI.</t>
        </is>
      </c>
      <c r="F93" s="215" t="inlineStr">
        <is>
          <t>Procedimiento de DD por niveles (simplificada, estándar e intensificada) con su frecuencia y prioridad.</t>
        </is>
      </c>
      <c r="G93" s="216" t="inlineStr">
        <is>
          <t>Oficial de Cumplimiento</t>
        </is>
      </c>
      <c r="H93" s="217" t="n">
        <v>3</v>
      </c>
      <c r="I93" s="218" t="inlineStr">
        <is>
          <t>Cumple parcialmente</t>
        </is>
      </c>
      <c r="J93" s="219">
        <f>IF(I93="","",IF(I93="No aplica","N/A",INDEX(Escala!$C$5:$C$9,MATCH(I93,Escala!$B$5:$B$9,0))))</f>
        <v/>
      </c>
      <c r="K93" s="146" t="inlineStr">
        <is>
          <t>DD uniforme para todas las contrapartes.</t>
        </is>
      </c>
      <c r="L93" s="146" t="inlineStr">
        <is>
          <t>Sin enfoque basado en riesgo.</t>
        </is>
      </c>
      <c r="M93" s="146" t="inlineStr">
        <is>
          <t>Segmentar las contrapartes por riesgo y definir niveles de DD (simplificada, estándar, intensificada).</t>
        </is>
      </c>
      <c r="N93" s="146" t="inlineStr">
        <is>
          <t>Oficial de Cumplimiento</t>
        </is>
      </c>
      <c r="O93" s="220" t="n">
        <v>46418</v>
      </c>
      <c r="P93" s="218" t="inlineStr">
        <is>
          <t>Pendiente</t>
        </is>
      </c>
      <c r="Q93" s="221">
        <f>IF(I93="No aplica",0,H93)</f>
        <v/>
      </c>
      <c r="R93" s="221">
        <f>IF(ISNUMBER(J93),J93*H93,0)</f>
        <v/>
      </c>
    </row>
    <row r="94" ht="49" customHeight="1">
      <c r="A94" s="210" t="inlineStr">
        <is>
          <t>S-82</t>
        </is>
      </c>
      <c r="B94" s="211" t="inlineStr">
        <is>
          <t>10. Debida diligencia</t>
        </is>
      </c>
      <c r="C94" s="212" t="inlineStr">
        <is>
          <t>9.15</t>
        </is>
      </c>
      <c r="D94" s="213" t="inlineStr">
        <is>
          <t>191</t>
        </is>
      </c>
      <c r="E94" s="214" t="inlineStr">
        <is>
          <t>La Debida Diligencia respeta la normativa de protección de datos personales (Leyes 1266 de 2008 y 1581 de 2012).</t>
        </is>
      </c>
      <c r="F94" s="215" t="inlineStr">
        <is>
          <t>Autorizaciones de tratamiento en formatos de vinculación; aviso de privacidad; finalidad documentada.</t>
        </is>
      </c>
      <c r="G94" s="216" t="inlineStr">
        <is>
          <t>OC / Oficial de protección de datos</t>
        </is>
      </c>
      <c r="H94" s="217" t="n">
        <v>3</v>
      </c>
      <c r="I94" s="218" t="inlineStr">
        <is>
          <t>Cumple en gran medida</t>
        </is>
      </c>
      <c r="J94" s="219">
        <f>IF(I94="","",IF(I94="No aplica","N/A",INDEX(Escala!$C$5:$C$9,MATCH(I94,Escala!$B$5:$B$9,0))))</f>
        <v/>
      </c>
      <c r="K94" s="146" t="inlineStr">
        <is>
          <t>El formato de clientes incluye autorización de datos personales.</t>
        </is>
      </c>
      <c r="L94" s="146" t="inlineStr">
        <is>
          <t>El formato de productores no la incluye.</t>
        </is>
      </c>
      <c r="M94" s="146" t="inlineStr">
        <is>
          <t>Actualizar el formato de productores.</t>
        </is>
      </c>
      <c r="N94" s="146" t="inlineStr">
        <is>
          <t>Oficial de Cumplimiento</t>
        </is>
      </c>
      <c r="O94" s="220" t="n">
        <v>46356</v>
      </c>
      <c r="P94" s="218" t="inlineStr">
        <is>
          <t>Pendiente</t>
        </is>
      </c>
      <c r="Q94" s="221">
        <f>IF(I94="No aplica",0,H94)</f>
        <v/>
      </c>
      <c r="R94" s="221">
        <f>IF(ISNUMBER(J94),J94*H94,0)</f>
        <v/>
      </c>
    </row>
    <row r="95" ht="49" customHeight="1">
      <c r="A95" s="210" t="inlineStr">
        <is>
          <t>S-83</t>
        </is>
      </c>
      <c r="B95" s="211" t="inlineStr">
        <is>
          <t>10. Debida diligencia</t>
        </is>
      </c>
      <c r="C95" s="212" t="inlineStr">
        <is>
          <t>9.15.1</t>
        </is>
      </c>
      <c r="D95" s="213" t="inlineStr">
        <is>
          <t>191</t>
        </is>
      </c>
      <c r="E95" s="214" t="inlineStr">
        <is>
          <t>Identificar a la contraparte y verificar su identidad con documentos o fuentes confiables e independientes, usando formatos de conocimiento diseñados según sector y riesgo.</t>
        </is>
      </c>
      <c r="F95" s="215" t="inlineStr">
        <is>
          <t>Formatos de vinculación diligenciados con soportes (RUT, documento de identidad, certificado de existencia).</t>
        </is>
      </c>
      <c r="G95" s="216" t="inlineStr">
        <is>
          <t>Áreas de vinculación</t>
        </is>
      </c>
      <c r="H95" s="217" t="n">
        <v>3</v>
      </c>
      <c r="I95" s="218" t="inlineStr">
        <is>
          <t>Cumple totalmente</t>
        </is>
      </c>
      <c r="J95" s="219">
        <f>IF(I95="","",IF(I95="No aplica","N/A",INDEX(Escala!$C$5:$C$9,MATCH(I95,Escala!$B$5:$B$9,0))))</f>
        <v/>
      </c>
      <c r="K95" s="146" t="inlineStr">
        <is>
          <t>Formatos con RUT, certificado de existencia y documento verificados.</t>
        </is>
      </c>
      <c r="L95" s="146" t="n"/>
      <c r="M95" s="146" t="n"/>
      <c r="N95" s="146" t="n"/>
      <c r="O95" s="220" t="n"/>
      <c r="P95" s="218" t="n"/>
      <c r="Q95" s="221">
        <f>IF(I95="No aplica",0,H95)</f>
        <v/>
      </c>
      <c r="R95" s="221">
        <f>IF(ISNUMBER(J95),J95*H95,0)</f>
        <v/>
      </c>
    </row>
    <row r="96" ht="49" customHeight="1">
      <c r="A96" s="210" t="inlineStr">
        <is>
          <t>S-84</t>
        </is>
      </c>
      <c r="B96" s="211" t="inlineStr">
        <is>
          <t>10. Debida diligencia</t>
        </is>
      </c>
      <c r="C96" s="212" t="inlineStr">
        <is>
          <t>9.15.1</t>
        </is>
      </c>
      <c r="D96" s="213" t="inlineStr">
        <is>
          <t>191</t>
        </is>
      </c>
      <c r="E96" s="214" t="inlineStr">
        <is>
          <t>Entender el propósito y carácter del negocio jurídico (estatal o privado): objeto, necesidad, conveniencia y correlación con los bienes o servicios contratados.</t>
        </is>
      </c>
      <c r="F96" s="215" t="inlineStr">
        <is>
          <t>Justificación del negocio en la solicitud de contratación o vinculación.</t>
        </is>
      </c>
      <c r="G96" s="216" t="inlineStr">
        <is>
          <t>Áreas de vinculación</t>
        </is>
      </c>
      <c r="H96" s="217" t="n">
        <v>2</v>
      </c>
      <c r="I96" s="218" t="inlineStr">
        <is>
          <t>Cumple parcialmente</t>
        </is>
      </c>
      <c r="J96" s="219">
        <f>IF(I96="","",IF(I96="No aplica","N/A",INDEX(Escala!$C$5:$C$9,MATCH(I96,Escala!$B$5:$B$9,0))))</f>
        <v/>
      </c>
      <c r="K96" s="146" t="inlineStr">
        <is>
          <t>Propósito de la relación documentado para clientes.</t>
        </is>
      </c>
      <c r="L96" s="146" t="inlineStr">
        <is>
          <t>No se documenta para productores ni acopiadores.</t>
        </is>
      </c>
      <c r="M96" s="146" t="inlineStr">
        <is>
          <t>Agregar campo de propósito al formato.</t>
        </is>
      </c>
      <c r="N96" s="146" t="inlineStr">
        <is>
          <t>Compras de Fruta</t>
        </is>
      </c>
      <c r="O96" s="220" t="n">
        <v>46418</v>
      </c>
      <c r="P96" s="218" t="inlineStr">
        <is>
          <t>Pendiente</t>
        </is>
      </c>
      <c r="Q96" s="221">
        <f>IF(I96="No aplica",0,H96)</f>
        <v/>
      </c>
      <c r="R96" s="221">
        <f>IF(ISNUMBER(J96),J96*H96,0)</f>
        <v/>
      </c>
    </row>
    <row r="97" ht="49" customHeight="1">
      <c r="A97" s="210" t="inlineStr">
        <is>
          <t>S-85</t>
        </is>
      </c>
      <c r="B97" s="211" t="inlineStr">
        <is>
          <t>10. Debida diligencia</t>
        </is>
      </c>
      <c r="C97" s="212" t="inlineStr">
        <is>
          <t>9.15.1</t>
        </is>
      </c>
      <c r="D97" s="213" t="inlineStr">
        <is>
          <t>191</t>
        </is>
      </c>
      <c r="E97" s="214" t="inlineStr">
        <is>
          <t>Identificar beneficiarios finales y la estructura de titularidad y control (propiedad o control efectivo) con medidas razonables y proporcionales de verificación.</t>
        </is>
      </c>
      <c r="F97" s="215" t="inlineStr">
        <is>
          <t>Formato de beneficiario final; composición accionaria; especificación de cómo se ejerce el control.</t>
        </is>
      </c>
      <c r="G97" s="216" t="inlineStr">
        <is>
          <t>Áreas de vinculación / OC</t>
        </is>
      </c>
      <c r="H97" s="217" t="n">
        <v>3</v>
      </c>
      <c r="I97" s="218" t="inlineStr">
        <is>
          <t>Cumple parcialmente</t>
        </is>
      </c>
      <c r="J97" s="219">
        <f>IF(I97="","",IF(I97="No aplica","N/A",INDEX(Escala!$C$5:$C$9,MATCH(I97,Escala!$B$5:$B$9,0))))</f>
        <v/>
      </c>
      <c r="K97" s="146" t="inlineStr">
        <is>
          <t>Beneficiario final de clientes registrado.</t>
        </is>
      </c>
      <c r="L97" s="146" t="inlineStr">
        <is>
          <t>Los acopiadores no reportan beneficiario final ni estructura de control.</t>
        </is>
      </c>
      <c r="M97" s="146" t="inlineStr">
        <is>
          <t>Formato de beneficiario final obligatorio.</t>
        </is>
      </c>
      <c r="N97" s="146" t="inlineStr">
        <is>
          <t>Compras de Fruta</t>
        </is>
      </c>
      <c r="O97" s="220" t="n">
        <v>46371</v>
      </c>
      <c r="P97" s="218" t="inlineStr">
        <is>
          <t>Pendiente</t>
        </is>
      </c>
      <c r="Q97" s="221">
        <f>IF(I97="No aplica",0,H97)</f>
        <v/>
      </c>
      <c r="R97" s="221">
        <f>IF(ISNUMBER(J97),J97*H97,0)</f>
        <v/>
      </c>
    </row>
    <row r="98" ht="49" customHeight="1">
      <c r="A98" s="210" t="inlineStr">
        <is>
          <t>S-86</t>
        </is>
      </c>
      <c r="B98" s="211" t="inlineStr">
        <is>
          <t>10. Debida diligencia</t>
        </is>
      </c>
      <c r="C98" s="212" t="inlineStr">
        <is>
          <t>9.15.1</t>
        </is>
      </c>
      <c r="D98" s="213" t="inlineStr">
        <is>
          <t>191-192</t>
        </is>
      </c>
      <c r="E98" s="214" t="inlineStr">
        <is>
          <t>Debida Diligencia continua de la relación y de las transacciones, incluyendo el origen de los fondos cuando sea necesario.</t>
        </is>
      </c>
      <c r="F98" s="215" t="inlineStr">
        <is>
          <t>Monitoreo transaccional y revisiones periódicas documentadas.</t>
        </is>
      </c>
      <c r="G98" s="216" t="inlineStr">
        <is>
          <t>Oficial de Cumplimiento</t>
        </is>
      </c>
      <c r="H98" s="217" t="n">
        <v>3</v>
      </c>
      <c r="I98" s="218" t="inlineStr">
        <is>
          <t>Cumple parcialmente</t>
        </is>
      </c>
      <c r="J98" s="219">
        <f>IF(I98="","",IF(I98="No aplica","N/A",INDEX(Escala!$C$5:$C$9,MATCH(I98,Escala!$B$5:$B$9,0))))</f>
        <v/>
      </c>
      <c r="K98" s="146" t="inlineStr">
        <is>
          <t>Monitoreo trimestral de clientes.</t>
        </is>
      </c>
      <c r="L98" s="146" t="inlineStr">
        <is>
          <t>No se monitorean los pagos a productores.</t>
        </is>
      </c>
      <c r="M98" s="146" t="inlineStr">
        <is>
          <t>Extender el monitoreo a productores.</t>
        </is>
      </c>
      <c r="N98" s="146" t="inlineStr">
        <is>
          <t>Oficial de Cumplimiento</t>
        </is>
      </c>
      <c r="O98" s="220" t="n">
        <v>46446</v>
      </c>
      <c r="P98" s="218" t="inlineStr">
        <is>
          <t>Pendiente</t>
        </is>
      </c>
      <c r="Q98" s="221">
        <f>IF(I98="No aplica",0,H98)</f>
        <v/>
      </c>
      <c r="R98" s="221">
        <f>IF(ISNUMBER(J98),J98*H98,0)</f>
        <v/>
      </c>
    </row>
    <row r="99" ht="62" customHeight="1">
      <c r="A99" s="210" t="inlineStr">
        <is>
          <t>S-87</t>
        </is>
      </c>
      <c r="B99" s="211" t="inlineStr">
        <is>
          <t>10. Debida diligencia</t>
        </is>
      </c>
      <c r="C99" s="212" t="inlineStr">
        <is>
          <t>9.15.1</t>
        </is>
      </c>
      <c r="D99" s="213" t="inlineStr">
        <is>
          <t>192</t>
        </is>
      </c>
      <c r="E99" s="214" t="inlineStr">
        <is>
          <t>Base de datos de contrapartes con, como mínimo: nombre, identificación, domicilio, beneficiario final, representante legal, persona de contacto, cargo y fecha del proceso de conocimiento o monitoreo.</t>
        </is>
      </c>
      <c r="F99" s="215" t="inlineStr">
        <is>
          <t>Base de datos con los 8 campos; medir el % de registros completos.</t>
        </is>
      </c>
      <c r="G99" s="216" t="inlineStr">
        <is>
          <t>Oficial de Cumplimiento</t>
        </is>
      </c>
      <c r="H99" s="217" t="n">
        <v>3</v>
      </c>
      <c r="I99" s="218" t="inlineStr">
        <is>
          <t>Cumple en gran medida</t>
        </is>
      </c>
      <c r="J99" s="219">
        <f>IF(I99="","",IF(I99="No aplica","N/A",INDEX(Escala!$C$5:$C$9,MATCH(I99,Escala!$B$5:$B$9,0))))</f>
        <v/>
      </c>
      <c r="K99" s="146" t="inlineStr">
        <is>
          <t>Base de datos con 7 de los 8 campos mínimos.</t>
        </is>
      </c>
      <c r="L99" s="146" t="inlineStr">
        <is>
          <t>Falta la fecha del último monitoreo.</t>
        </is>
      </c>
      <c r="M99" s="146" t="inlineStr">
        <is>
          <t>Agregar el campo.</t>
        </is>
      </c>
      <c r="N99" s="146" t="inlineStr">
        <is>
          <t>Oficial de Cumplimiento</t>
        </is>
      </c>
      <c r="O99" s="220" t="n">
        <v>46356</v>
      </c>
      <c r="P99" s="218" t="inlineStr">
        <is>
          <t>Pendiente</t>
        </is>
      </c>
      <c r="Q99" s="221">
        <f>IF(I99="No aplica",0,H99)</f>
        <v/>
      </c>
      <c r="R99" s="221">
        <f>IF(ISNUMBER(J99),J99*H99,0)</f>
        <v/>
      </c>
    </row>
    <row r="100" ht="49" customHeight="1">
      <c r="A100" s="210" t="inlineStr">
        <is>
          <t>S-88</t>
        </is>
      </c>
      <c r="B100" s="211" t="inlineStr">
        <is>
          <t>10. Debida diligencia</t>
        </is>
      </c>
      <c r="C100" s="212" t="inlineStr">
        <is>
          <t>9.15.1</t>
        </is>
      </c>
      <c r="D100" s="213" t="inlineStr">
        <is>
          <t>192</t>
        </is>
      </c>
      <c r="E100" s="214" t="inlineStr">
        <is>
          <t>Analizar remuneraciones y pagos, canales, jurisdicciones de pago y de ejecución, para descartar pagos ocultos de sobornos vía contratistas o intermediarios.</t>
        </is>
      </c>
      <c r="F100" s="215" t="inlineStr">
        <is>
          <t>Análisis de razonabilidad de comisiones y honorarios; alertas de pagos a jurisdicciones de alto riesgo.</t>
        </is>
      </c>
      <c r="G100" s="216" t="inlineStr">
        <is>
          <t>OC / Área financiera</t>
        </is>
      </c>
      <c r="H100" s="217" t="n">
        <v>3</v>
      </c>
      <c r="I100" s="218" t="inlineStr">
        <is>
          <t>No cumple</t>
        </is>
      </c>
      <c r="J100" s="219">
        <f>IF(I100="","",IF(I100="No aplica","N/A",INDEX(Escala!$C$5:$C$9,MATCH(I100,Escala!$B$5:$B$9,0))))</f>
        <v/>
      </c>
      <c r="K100" s="146" t="inlineStr">
        <is>
          <t>Comisiones del 5 % al 8 % a brokers en Europa sin análisis de razonabilidad.</t>
        </is>
      </c>
      <c r="L100" s="146" t="inlineStr">
        <is>
          <t>Riesgo de pagos indirectos de soborno.</t>
        </is>
      </c>
      <c r="M100" s="146" t="inlineStr">
        <is>
          <t>Análisis de razonabilidad de comisiones y pagos.</t>
        </is>
      </c>
      <c r="N100" s="146" t="inlineStr">
        <is>
          <t>Comercio Exterior</t>
        </is>
      </c>
      <c r="O100" s="220" t="n">
        <v>46418</v>
      </c>
      <c r="P100" s="218" t="inlineStr">
        <is>
          <t>Pendiente</t>
        </is>
      </c>
      <c r="Q100" s="221">
        <f>IF(I100="No aplica",0,H100)</f>
        <v/>
      </c>
      <c r="R100" s="221">
        <f>IF(ISNUMBER(J100),J100*H100,0)</f>
        <v/>
      </c>
    </row>
    <row r="101" ht="62" customHeight="1">
      <c r="A101" s="210" t="inlineStr">
        <is>
          <t>S-89</t>
        </is>
      </c>
      <c r="B101" s="211" t="inlineStr">
        <is>
          <t>10. Debida diligencia</t>
        </is>
      </c>
      <c r="C101" s="212" t="inlineStr">
        <is>
          <t>9.15.1</t>
        </is>
      </c>
      <c r="D101" s="213" t="inlineStr">
        <is>
          <t>192</t>
        </is>
      </c>
      <c r="E101" s="214" t="inlineStr">
        <is>
          <t>Personal competente y recursos humanos y tecnológicos para consultar antecedentes comerciales, reputacionales y sancionatorios, incluidos contratistas, potenciales contratistas y personas relevantes que les presten servicios.</t>
        </is>
      </c>
      <c r="F101" s="215" t="inlineStr">
        <is>
          <t>Herramientas de consulta (listas, antecedentes) y personal designado.</t>
        </is>
      </c>
      <c r="G101" s="216" t="inlineStr">
        <is>
          <t>RL / OC</t>
        </is>
      </c>
      <c r="H101" s="217" t="n">
        <v>2</v>
      </c>
      <c r="I101" s="218" t="inlineStr">
        <is>
          <t>Cumple en gran medida</t>
        </is>
      </c>
      <c r="J101" s="219">
        <f>IF(I101="","",IF(I101="No aplica","N/A",INDEX(Escala!$C$5:$C$9,MATCH(I101,Escala!$B$5:$B$9,0))))</f>
        <v/>
      </c>
      <c r="K101" s="146" t="inlineStr">
        <is>
          <t>Herramienta de listas contratada en 2026.</t>
        </is>
      </c>
      <c r="L101" s="146" t="inlineStr">
        <is>
          <t>No se consulta a los conductores de los transportadores.</t>
        </is>
      </c>
      <c r="M101" s="146" t="inlineStr">
        <is>
          <t>Consulta de conductores relevantes.</t>
        </is>
      </c>
      <c r="N101" s="146" t="inlineStr">
        <is>
          <t>Jefe de Logística</t>
        </is>
      </c>
      <c r="O101" s="220" t="n">
        <v>46418</v>
      </c>
      <c r="P101" s="218" t="inlineStr">
        <is>
          <t>Pendiente</t>
        </is>
      </c>
      <c r="Q101" s="221">
        <f>IF(I101="No aplica",0,H101)</f>
        <v/>
      </c>
      <c r="R101" s="221">
        <f>IF(ISNUMBER(J101),J101*H101,0)</f>
        <v/>
      </c>
    </row>
    <row r="102" ht="49" customHeight="1">
      <c r="A102" s="210" t="inlineStr">
        <is>
          <t>S-90</t>
        </is>
      </c>
      <c r="B102" s="211" t="inlineStr">
        <is>
          <t>10. Debida diligencia</t>
        </is>
      </c>
      <c r="C102" s="212" t="inlineStr">
        <is>
          <t>9.15.1</t>
        </is>
      </c>
      <c r="D102" s="213" t="inlineStr">
        <is>
          <t>192-193</t>
        </is>
      </c>
      <c r="E102" s="214" t="inlineStr">
        <is>
          <t>Actualizar la Debida Diligencia mínimo una (1) vez al año para contrapartes de riesgo alto y cada dos (2) años para riesgo medio o bajo, o antes ante cambios o alertas.</t>
        </is>
      </c>
      <c r="F102" s="215" t="inlineStr">
        <is>
          <t>Registro de fechas de actualización por contraparte; indicador de actualizaciones vencidas.</t>
        </is>
      </c>
      <c r="G102" s="216" t="inlineStr">
        <is>
          <t>Oficial de Cumplimiento</t>
        </is>
      </c>
      <c r="H102" s="217" t="n">
        <v>3</v>
      </c>
      <c r="I102" s="218" t="inlineStr">
        <is>
          <t>Cumple parcialmente</t>
        </is>
      </c>
      <c r="J102" s="219">
        <f>IF(I102="","",IF(I102="No aplica","N/A",INDEX(Escala!$C$5:$C$9,MATCH(I102,Escala!$B$5:$B$9,0))))</f>
        <v/>
      </c>
      <c r="K102" s="146" t="inlineStr">
        <is>
          <t>Actualización cada 2 años para todas las contrapartes.</t>
        </is>
      </c>
      <c r="L102" s="146" t="inlineStr">
        <is>
          <t>Riesgo alto no se actualiza anualmente; 23 % de expedientes vencidos.</t>
        </is>
      </c>
      <c r="M102" s="146" t="inlineStr">
        <is>
          <t>Plan de actualización por riesgo.</t>
        </is>
      </c>
      <c r="N102" s="146" t="inlineStr">
        <is>
          <t>Oficial de Cumplimiento</t>
        </is>
      </c>
      <c r="O102" s="220" t="n">
        <v>46477</v>
      </c>
      <c r="P102" s="218" t="inlineStr">
        <is>
          <t>Pendiente</t>
        </is>
      </c>
      <c r="Q102" s="221">
        <f>IF(I102="No aplica",0,H102)</f>
        <v/>
      </c>
      <c r="R102" s="221">
        <f>IF(ISNUMBER(J102),J102*H102,0)</f>
        <v/>
      </c>
    </row>
    <row r="103" ht="49" customHeight="1">
      <c r="A103" s="210" t="inlineStr">
        <is>
          <t>S-91</t>
        </is>
      </c>
      <c r="B103" s="211" t="inlineStr">
        <is>
          <t>10. Debida diligencia</t>
        </is>
      </c>
      <c r="C103" s="212" t="inlineStr">
        <is>
          <t>9.15.1</t>
        </is>
      </c>
      <c r="D103" s="213" t="inlineStr">
        <is>
          <t>193</t>
        </is>
      </c>
      <c r="E103" s="214" t="inlineStr">
        <is>
          <t>Realizar la DD antes del negocio (excepcionalmente después, documentando); si no puede completarse, evaluar la continuidad de la relación y la procedencia de un ROS.</t>
        </is>
      </c>
      <c r="F103" s="215" t="inlineStr">
        <is>
          <t>Fechas de DD frente a fecha de contrato; justificación de excepciones.</t>
        </is>
      </c>
      <c r="G103" s="216" t="inlineStr">
        <is>
          <t>Áreas de vinculación / OC</t>
        </is>
      </c>
      <c r="H103" s="217" t="n">
        <v>3</v>
      </c>
      <c r="I103" s="218" t="inlineStr">
        <is>
          <t>Cumple en gran medida</t>
        </is>
      </c>
      <c r="J103" s="219">
        <f>IF(I103="","",IF(I103="No aplica","N/A",INDEX(Escala!$C$5:$C$9,MATCH(I103,Escala!$B$5:$B$9,0))))</f>
        <v/>
      </c>
      <c r="K103" s="146" t="inlineStr">
        <is>
          <t>DD previa en clientes.</t>
        </is>
      </c>
      <c r="L103" s="146" t="inlineStr">
        <is>
          <t>12 productores se pagaron antes de completar la DD en temporada alta, sin excepción documentada.</t>
        </is>
      </c>
      <c r="M103" s="146" t="inlineStr">
        <is>
          <t>Formato de excepción con plazo de 15 días.</t>
        </is>
      </c>
      <c r="N103" s="146" t="inlineStr">
        <is>
          <t>Compras de Fruta</t>
        </is>
      </c>
      <c r="O103" s="220" t="n">
        <v>46371</v>
      </c>
      <c r="P103" s="218" t="inlineStr">
        <is>
          <t>Pendiente</t>
        </is>
      </c>
      <c r="Q103" s="221">
        <f>IF(I103="No aplica",0,H103)</f>
        <v/>
      </c>
      <c r="R103" s="221">
        <f>IF(ISNUMBER(J103),J103*H103,0)</f>
        <v/>
      </c>
    </row>
    <row r="104" ht="49" customHeight="1">
      <c r="A104" s="210" t="inlineStr">
        <is>
          <t>S-92</t>
        </is>
      </c>
      <c r="B104" s="211" t="inlineStr">
        <is>
          <t>10. Debida diligencia</t>
        </is>
      </c>
      <c r="C104" s="212" t="inlineStr">
        <is>
          <t>9.15</t>
        </is>
      </c>
      <c r="D104" s="213" t="inlineStr">
        <is>
          <t>191</t>
        </is>
      </c>
      <c r="E104" s="214" t="inlineStr">
        <is>
          <t>Si no es posible identificar a la contraparte o su beneficiario final, el OC documenta las razones jurídicas y completa la DD tras la vinculación.</t>
        </is>
      </c>
      <c r="F104" s="215" t="inlineStr">
        <is>
          <t>Registro de casos excepcionales con su cierre.</t>
        </is>
      </c>
      <c r="G104" s="216" t="inlineStr">
        <is>
          <t>Oficial de Cumplimiento</t>
        </is>
      </c>
      <c r="H104" s="217" t="n">
        <v>2</v>
      </c>
      <c r="I104" s="218" t="inlineStr">
        <is>
          <t>Cumplimiento incipiente</t>
        </is>
      </c>
      <c r="J104" s="219">
        <f>IF(I104="","",IF(I104="No aplica","N/A",INDEX(Escala!$C$5:$C$9,MATCH(I104,Escala!$B$5:$B$9,0))))</f>
        <v/>
      </c>
      <c r="K104" s="146" t="inlineStr">
        <is>
          <t>No hay registro de casos excepcionales.</t>
        </is>
      </c>
      <c r="L104" s="146" t="inlineStr">
        <is>
          <t>Sin registro.</t>
        </is>
      </c>
      <c r="M104" s="146" t="inlineStr">
        <is>
          <t>Crear el registro de excepciones.</t>
        </is>
      </c>
      <c r="N104" s="146" t="inlineStr">
        <is>
          <t>Oficial de Cumplimiento</t>
        </is>
      </c>
      <c r="O104" s="220" t="n">
        <v>46418</v>
      </c>
      <c r="P104" s="218" t="inlineStr">
        <is>
          <t>Pendiente</t>
        </is>
      </c>
      <c r="Q104" s="221">
        <f>IF(I104="No aplica",0,H104)</f>
        <v/>
      </c>
      <c r="R104" s="221">
        <f>IF(ISNUMBER(J104),J104*H104,0)</f>
        <v/>
      </c>
    </row>
    <row r="105" ht="49" customHeight="1">
      <c r="A105" s="210" t="inlineStr">
        <is>
          <t>S-93</t>
        </is>
      </c>
      <c r="B105" s="211" t="inlineStr">
        <is>
          <t>10. Debida diligencia</t>
        </is>
      </c>
      <c r="C105" s="212" t="inlineStr">
        <is>
          <t>9.15.1</t>
        </is>
      </c>
      <c r="D105" s="213" t="inlineStr">
        <is>
          <t>193</t>
        </is>
      </c>
      <c r="E105" s="214" t="inlineStr">
        <is>
          <t>Consultar permanentemente las Listas Vinculantes y, ante coincidencia, reportar de inmediato a la UIAF y a la Fiscalía General de la Nación.</t>
        </is>
      </c>
      <c r="F105" s="215" t="inlineStr">
        <is>
          <t>Evidencia de consultas (fecha y hora); procedimiento de reporte inmediato.</t>
        </is>
      </c>
      <c r="G105" s="216" t="inlineStr">
        <is>
          <t>Oficial de Cumplimiento</t>
        </is>
      </c>
      <c r="H105" s="217" t="n">
        <v>3</v>
      </c>
      <c r="I105" s="218" t="inlineStr">
        <is>
          <t>Cumple totalmente</t>
        </is>
      </c>
      <c r="J105" s="219">
        <f>IF(I105="","",IF(I105="No aplica","N/A",INDEX(Escala!$C$5:$C$9,MATCH(I105,Escala!$B$5:$B$9,0))))</f>
        <v/>
      </c>
      <c r="K105" s="146" t="inlineStr">
        <is>
          <t>Consulta automática diaria en listas ONU, con registro de fecha y hora.</t>
        </is>
      </c>
      <c r="L105" s="146" t="n"/>
      <c r="M105" s="146" t="n"/>
      <c r="N105" s="146" t="n"/>
      <c r="O105" s="220" t="n"/>
      <c r="P105" s="218" t="n"/>
      <c r="Q105" s="221">
        <f>IF(I105="No aplica",0,H105)</f>
        <v/>
      </c>
      <c r="R105" s="221">
        <f>IF(ISNUMBER(J105),J105*H105,0)</f>
        <v/>
      </c>
    </row>
    <row r="106" ht="49" customHeight="1">
      <c r="A106" s="210" t="inlineStr">
        <is>
          <t>S-94</t>
        </is>
      </c>
      <c r="B106" s="211" t="inlineStr">
        <is>
          <t>10. Debida diligencia</t>
        </is>
      </c>
      <c r="C106" s="212" t="inlineStr">
        <is>
          <t>9.16.1</t>
        </is>
      </c>
      <c r="D106" s="213" t="inlineStr">
        <is>
          <t>194</t>
        </is>
      </c>
      <c r="E106" s="214" t="inlineStr">
        <is>
          <t>Operaciones en efectivo: definir su manejo y patrones de normalidad, de modo que las desviaciones sean señales de alerta.</t>
        </is>
      </c>
      <c r="F106" s="215" t="inlineStr">
        <is>
          <t>Política de efectivo con umbrales; reporte de desviaciones.</t>
        </is>
      </c>
      <c r="G106" s="216" t="inlineStr">
        <is>
          <t>Área financiera / OC</t>
        </is>
      </c>
      <c r="H106" s="217" t="n">
        <v>2</v>
      </c>
      <c r="I106" s="218" t="inlineStr">
        <is>
          <t>Cumple parcialmente</t>
        </is>
      </c>
      <c r="J106" s="219">
        <f>IF(I106="","",IF(I106="No aplica","N/A",INDEX(Escala!$C$5:$C$9,MATCH(I106,Escala!$B$5:$B$9,0))))</f>
        <v/>
      </c>
      <c r="K106" s="146" t="inlineStr">
        <is>
          <t>Pagos en efectivo a productores con recibo.</t>
        </is>
      </c>
      <c r="L106" s="146" t="inlineStr">
        <is>
          <t>Sin tope ni patrón de normalidad.</t>
        </is>
      </c>
      <c r="M106" s="146" t="inlineStr">
        <is>
          <t>Tope y reporte mensual de desviaciones.</t>
        </is>
      </c>
      <c r="N106" s="146" t="inlineStr">
        <is>
          <t>Director Financiero</t>
        </is>
      </c>
      <c r="O106" s="220" t="n">
        <v>46371</v>
      </c>
      <c r="P106" s="218" t="inlineStr">
        <is>
          <t>Pendiente</t>
        </is>
      </c>
      <c r="Q106" s="221">
        <f>IF(I106="No aplica",0,H106)</f>
        <v/>
      </c>
      <c r="R106" s="221">
        <f>IF(ISNUMBER(J106),J106*H106,0)</f>
        <v/>
      </c>
    </row>
    <row r="107" ht="49" customHeight="1">
      <c r="A107" s="210" t="inlineStr">
        <is>
          <t>S-95</t>
        </is>
      </c>
      <c r="B107" s="211" t="inlineStr">
        <is>
          <t>10. Debida diligencia</t>
        </is>
      </c>
      <c r="C107" s="212" t="inlineStr">
        <is>
          <t>9.16.2-9.16.3</t>
        </is>
      </c>
      <c r="D107" s="213" t="inlineStr">
        <is>
          <t>194</t>
        </is>
      </c>
      <c r="E107" s="214" t="inlineStr">
        <is>
          <t>Ventas masivas o retail: umbrales proporcionales de DD y foco en operaciones inusuales. Activos virtuales: medidas razonables para identificar la contraparte y sus riesgos.</t>
        </is>
      </c>
      <c r="F107" s="215" t="inlineStr">
        <is>
          <t>Umbrales documentados; procedimiento de activos virtuales (o 'No aplica').</t>
        </is>
      </c>
      <c r="G107" s="216" t="inlineStr">
        <is>
          <t>Oficial de Cumplimiento</t>
        </is>
      </c>
      <c r="H107" s="217" t="n">
        <v>1</v>
      </c>
      <c r="I107" s="218" t="inlineStr">
        <is>
          <t>No aplica</t>
        </is>
      </c>
      <c r="J107" s="219">
        <f>IF(I107="","",IF(I107="No aplica","N/A",INDEX(Escala!$C$5:$C$9,MATCH(I107,Escala!$B$5:$B$9,0))))</f>
        <v/>
      </c>
      <c r="K107" s="146" t="inlineStr">
        <is>
          <t>No vende por canales masivos ni opera con activos virtuales.</t>
        </is>
      </c>
      <c r="L107" s="146" t="n"/>
      <c r="M107" s="146" t="n"/>
      <c r="N107" s="146" t="n"/>
      <c r="O107" s="220" t="n"/>
      <c r="P107" s="218" t="n"/>
      <c r="Q107" s="221">
        <f>IF(I107="No aplica",0,H107)</f>
        <v/>
      </c>
      <c r="R107" s="221">
        <f>IF(ISNUMBER(J107),J107*H107,0)</f>
        <v/>
      </c>
    </row>
    <row r="108" ht="24" customHeight="1">
      <c r="A108" s="206" t="inlineStr">
        <is>
          <t>11  ·  Debida diligencia intensificada     (4 requisitos)</t>
        </is>
      </c>
      <c r="B108" s="207" t="n"/>
      <c r="C108" s="207" t="n"/>
      <c r="D108" s="207" t="n"/>
      <c r="E108" s="207" t="n"/>
      <c r="F108" s="207" t="n"/>
      <c r="G108" s="207" t="n"/>
      <c r="H108" s="207" t="n"/>
      <c r="I108" s="208" t="n"/>
      <c r="J108" s="209">
        <f>IFERROR(SUMIFS($R$7:$R$400,$B$7:$B$400,"11. Debida diligencia intensificada")/SUMIFS($Q$7:$Q$400,$B$7:$B$400,"11. Debida diligencia intensificada"),"N/A")</f>
        <v/>
      </c>
      <c r="K108" s="208" t="n"/>
      <c r="L108" s="208" t="n"/>
      <c r="M108" s="208" t="n"/>
      <c r="N108" s="208" t="n"/>
      <c r="O108" s="208" t="n"/>
      <c r="P108" s="208" t="n"/>
      <c r="Q108" s="130" t="n"/>
      <c r="R108" s="130" t="n"/>
    </row>
    <row r="109" ht="62" customHeight="1">
      <c r="A109" s="210" t="inlineStr">
        <is>
          <t>S-96</t>
        </is>
      </c>
      <c r="B109" s="211" t="inlineStr">
        <is>
          <t>11. Debida diligencia intensificada</t>
        </is>
      </c>
      <c r="C109" s="212" t="inlineStr">
        <is>
          <t>9.17</t>
        </is>
      </c>
      <c r="D109" s="213" t="inlineStr">
        <is>
          <t>194-195</t>
        </is>
      </c>
      <c r="E109" s="214" t="inlineStr">
        <is>
          <t>Aplicar DDI a contrapartes de mayor riesgo, PEP y ubicadas en países no cooperantes o de alto riesgo, examinando antecedentes y propósito de transacciones complejas o inusuales; también a quienes operen con activos virtuales (9.5.7).</t>
        </is>
      </c>
      <c r="F109" s="215" t="inlineStr">
        <is>
          <t>Procedimiento de DDI y listado de contrapartes sometidas a DDI.</t>
        </is>
      </c>
      <c r="G109" s="216" t="inlineStr">
        <is>
          <t>Oficial de Cumplimiento</t>
        </is>
      </c>
      <c r="H109" s="217" t="n">
        <v>3</v>
      </c>
      <c r="I109" s="218" t="inlineStr">
        <is>
          <t>Cumple parcialmente</t>
        </is>
      </c>
      <c r="J109" s="219">
        <f>IF(I109="","",IF(I109="No aplica","N/A",INDEX(Escala!$C$5:$C$9,MATCH(I109,Escala!$B$5:$B$9,0))))</f>
        <v/>
      </c>
      <c r="K109" s="146" t="inlineStr">
        <is>
          <t>Se aplica DDI a PEP.</t>
        </is>
      </c>
      <c r="L109" s="146" t="inlineStr">
        <is>
          <t>No se aplica a jurisdicciones GAFI ni a contrapartes de riesgo alto.</t>
        </is>
      </c>
      <c r="M109" s="146" t="inlineStr">
        <is>
          <t>Extender la DDI.</t>
        </is>
      </c>
      <c r="N109" s="146" t="inlineStr">
        <is>
          <t>Oficial de Cumplimiento</t>
        </is>
      </c>
      <c r="O109" s="220" t="n">
        <v>46418</v>
      </c>
      <c r="P109" s="218" t="inlineStr">
        <is>
          <t>Pendiente</t>
        </is>
      </c>
      <c r="Q109" s="221">
        <f>IF(I109="No aplica",0,H109)</f>
        <v/>
      </c>
      <c r="R109" s="221">
        <f>IF(ISNUMBER(J109),J109*H109,0)</f>
        <v/>
      </c>
    </row>
    <row r="110" ht="75" customHeight="1">
      <c r="A110" s="210" t="inlineStr">
        <is>
          <t>S-97</t>
        </is>
      </c>
      <c r="B110" s="211" t="inlineStr">
        <is>
          <t>11. Debida diligencia intensificada</t>
        </is>
      </c>
      <c r="C110" s="212" t="inlineStr">
        <is>
          <t>9.17</t>
        </is>
      </c>
      <c r="D110" s="213" t="inlineStr">
        <is>
          <t>195</t>
        </is>
      </c>
      <c r="E110" s="214" t="inlineStr">
        <is>
          <t>La DDI a PEP se extiende a cónyuge o compañero, familiares (2.º consanguinidad, 1.º afinidad y 1.º civil), cuentas en el exterior, personas jurídicas o fiducias relacionadas y asociados cercanos; también a PEP que sean beneficiarios finales.</t>
        </is>
      </c>
      <c r="F110" s="215" t="inlineStr">
        <is>
          <t>Formato PEP con campos de vinculados y soporte de su verificación.</t>
        </is>
      </c>
      <c r="G110" s="216" t="inlineStr">
        <is>
          <t>Oficial de Cumplimiento</t>
        </is>
      </c>
      <c r="H110" s="217" t="n">
        <v>3</v>
      </c>
      <c r="I110" s="218" t="inlineStr">
        <is>
          <t>Cumplimiento incipiente</t>
        </is>
      </c>
      <c r="J110" s="219">
        <f>IF(I110="","",IF(I110="No aplica","N/A",INDEX(Escala!$C$5:$C$9,MATCH(I110,Escala!$B$5:$B$9,0))))</f>
        <v/>
      </c>
      <c r="K110" s="146" t="inlineStr">
        <is>
          <t>Se identifica al PEP.</t>
        </is>
      </c>
      <c r="L110" s="146" t="inlineStr">
        <is>
          <t>No se extiende a familiares ni asociados cercanos.</t>
        </is>
      </c>
      <c r="M110" s="146" t="inlineStr">
        <is>
          <t>Formato PEP ampliado.</t>
        </is>
      </c>
      <c r="N110" s="146" t="inlineStr">
        <is>
          <t>Oficial de Cumplimiento</t>
        </is>
      </c>
      <c r="O110" s="220" t="n">
        <v>46418</v>
      </c>
      <c r="P110" s="218" t="inlineStr">
        <is>
          <t>Pendiente</t>
        </is>
      </c>
      <c r="Q110" s="221">
        <f>IF(I110="No aplica",0,H110)</f>
        <v/>
      </c>
      <c r="R110" s="221">
        <f>IF(ISNUMBER(J110),J110*H110,0)</f>
        <v/>
      </c>
    </row>
    <row r="111" ht="49" customHeight="1">
      <c r="A111" s="210" t="inlineStr">
        <is>
          <t>S-98</t>
        </is>
      </c>
      <c r="B111" s="211" t="inlineStr">
        <is>
          <t>11. Debida diligencia intensificada</t>
        </is>
      </c>
      <c r="C111" s="212" t="inlineStr">
        <is>
          <t>9.17</t>
        </is>
      </c>
      <c r="D111" s="213" t="inlineStr">
        <is>
          <t>195</t>
        </is>
      </c>
      <c r="E111" s="214" t="inlineStr">
        <is>
          <t>En DDI: adoptar medidas razonables para establecer el origen de los recursos y hacer un monitoreo continuo e intensificado (la aprobación de la alta gerencia se evalúa en S-32).</t>
        </is>
      </c>
      <c r="F111" s="215" t="inlineStr">
        <is>
          <t>Declaración o soportes de origen de fondos; frecuencia de monitoreo reforzada para contrapartes en DDI.</t>
        </is>
      </c>
      <c r="G111" s="216" t="inlineStr">
        <is>
          <t>RL / OC</t>
        </is>
      </c>
      <c r="H111" s="217" t="n">
        <v>3</v>
      </c>
      <c r="I111" s="218" t="inlineStr">
        <is>
          <t>Cumple parcialmente</t>
        </is>
      </c>
      <c r="J111" s="219">
        <f>IF(I111="","",IF(I111="No aplica","N/A",INDEX(Escala!$C$5:$C$9,MATCH(I111,Escala!$B$5:$B$9,0))))</f>
        <v/>
      </c>
      <c r="K111" s="146" t="inlineStr">
        <is>
          <t>Se solicita origen de fondos a los PEP.</t>
        </is>
      </c>
      <c r="L111" s="146" t="inlineStr">
        <is>
          <t>Aprueba el Gerente Comercial, no la alta gerencia; sin monitoreo reforzado.</t>
        </is>
      </c>
      <c r="M111" s="146" t="inlineStr">
        <is>
          <t>Ver S-32; monitoreo trimestral de contrapartes en DDI.</t>
        </is>
      </c>
      <c r="N111" s="146" t="inlineStr">
        <is>
          <t>Representante Legal</t>
        </is>
      </c>
      <c r="O111" s="220" t="n">
        <v>46371</v>
      </c>
      <c r="P111" s="218" t="inlineStr">
        <is>
          <t>Pendiente</t>
        </is>
      </c>
      <c r="Q111" s="221">
        <f>IF(I111="No aplica",0,H111)</f>
        <v/>
      </c>
      <c r="R111" s="221">
        <f>IF(ISNUMBER(J111),J111*H111,0)</f>
        <v/>
      </c>
    </row>
    <row r="112" ht="36" customHeight="1">
      <c r="A112" s="210" t="inlineStr">
        <is>
          <t>S-99</t>
        </is>
      </c>
      <c r="B112" s="211" t="inlineStr">
        <is>
          <t>11. Debida diligencia intensificada</t>
        </is>
      </c>
      <c r="C112" s="212" t="inlineStr">
        <is>
          <t>9.17</t>
        </is>
      </c>
      <c r="D112" s="213" t="inlineStr">
        <is>
          <t>195</t>
        </is>
      </c>
      <c r="E112" s="214" t="inlineStr">
        <is>
          <t>Revisar permanentemente los listados del GAFI de países no cooperantes y jurisdicciones de alto riesgo.</t>
        </is>
      </c>
      <c r="F112" s="215" t="inlineStr">
        <is>
          <t>Registro de consultas a las listas del GAFI.</t>
        </is>
      </c>
      <c r="G112" s="216" t="inlineStr">
        <is>
          <t>Oficial de Cumplimiento</t>
        </is>
      </c>
      <c r="H112" s="217" t="n">
        <v>2</v>
      </c>
      <c r="I112" s="218" t="inlineStr">
        <is>
          <t>Cumple en gran medida</t>
        </is>
      </c>
      <c r="J112" s="219">
        <f>IF(I112="","",IF(I112="No aplica","N/A",INDEX(Escala!$C$5:$C$9,MATCH(I112,Escala!$B$5:$B$9,0))))</f>
        <v/>
      </c>
      <c r="K112" s="146" t="inlineStr">
        <is>
          <t>El OC revisa las listas GAFI tras cada plenaria.</t>
        </is>
      </c>
      <c r="L112" s="146" t="inlineStr">
        <is>
          <t>No deja registro de la revisión.</t>
        </is>
      </c>
      <c r="M112" s="146" t="inlineStr">
        <is>
          <t>Registro de revisiones.</t>
        </is>
      </c>
      <c r="N112" s="146" t="inlineStr">
        <is>
          <t>Oficial de Cumplimiento</t>
        </is>
      </c>
      <c r="O112" s="220" t="n">
        <v>46356</v>
      </c>
      <c r="P112" s="218" t="inlineStr">
        <is>
          <t>Pendiente</t>
        </is>
      </c>
      <c r="Q112" s="221">
        <f>IF(I112="No aplica",0,H112)</f>
        <v/>
      </c>
      <c r="R112" s="221">
        <f>IF(ISNUMBER(J112),J112*H112,0)</f>
        <v/>
      </c>
    </row>
    <row r="113" ht="24" customHeight="1">
      <c r="A113" s="206" t="inlineStr">
        <is>
          <t>12  ·  Canal de denuncias y reporte de soborno transnacional     (7 requisitos)</t>
        </is>
      </c>
      <c r="B113" s="207" t="n"/>
      <c r="C113" s="207" t="n"/>
      <c r="D113" s="207" t="n"/>
      <c r="E113" s="207" t="n"/>
      <c r="F113" s="207" t="n"/>
      <c r="G113" s="207" t="n"/>
      <c r="H113" s="207" t="n"/>
      <c r="I113" s="208" t="n"/>
      <c r="J113" s="209">
        <f>IFERROR(SUMIFS($R$7:$R$400,$B$7:$B$400,"12. Canal de denuncias y reporte de soborno transnacional")/SUMIFS($Q$7:$Q$400,$B$7:$B$400,"12. Canal de denuncias y reporte de soborno transnacional"),"N/A")</f>
        <v/>
      </c>
      <c r="K113" s="208" t="n"/>
      <c r="L113" s="208" t="n"/>
      <c r="M113" s="208" t="n"/>
      <c r="N113" s="208" t="n"/>
      <c r="O113" s="208" t="n"/>
      <c r="P113" s="208" t="n"/>
      <c r="Q113" s="130" t="n"/>
      <c r="R113" s="130" t="n"/>
    </row>
    <row r="114" ht="62" customHeight="1">
      <c r="A114" s="210" t="inlineStr">
        <is>
          <t>S-100</t>
        </is>
      </c>
      <c r="B114" s="211" t="inlineStr">
        <is>
          <t>12. Canal de denuncias y reporte de soborno transnacional</t>
        </is>
      </c>
      <c r="C114" s="212" t="inlineStr">
        <is>
          <t>9.18.1</t>
        </is>
      </c>
      <c r="D114" s="213" t="inlineStr">
        <is>
          <t>195</t>
        </is>
      </c>
      <c r="E114" s="214" t="inlineStr">
        <is>
          <t>Canal de denuncias confidencial y anónimo para empleados, administradores, asociados, contratistas y cualquier persona, que permita reportar LA/FT/FP y C/ST e irregularidades del Sistema.</t>
        </is>
      </c>
      <c r="F114" s="215" t="inlineStr">
        <is>
          <t>Canal habilitado (web, línea, correo) con opción anónima.</t>
        </is>
      </c>
      <c r="G114" s="216" t="inlineStr">
        <is>
          <t>Oficial de Cumplimiento</t>
        </is>
      </c>
      <c r="H114" s="217" t="n">
        <v>3</v>
      </c>
      <c r="I114" s="218" t="inlineStr">
        <is>
          <t>Cumple parcialmente</t>
        </is>
      </c>
      <c r="J114" s="219">
        <f>IF(I114="","",IF(I114="No aplica","N/A",INDEX(Escala!$C$5:$C$9,MATCH(I114,Escala!$B$5:$B$9,0))))</f>
        <v/>
      </c>
      <c r="K114" s="146" t="inlineStr">
        <is>
          <t>Canal: correo electrónico del OC.</t>
        </is>
      </c>
      <c r="L114" s="146" t="inlineStr">
        <is>
          <t>No permite denuncias anónimas.</t>
        </is>
      </c>
      <c r="M114" s="146" t="inlineStr">
        <is>
          <t>Formulario web anónimo.</t>
        </is>
      </c>
      <c r="N114" s="146" t="inlineStr">
        <is>
          <t>Oficial de Cumplimiento</t>
        </is>
      </c>
      <c r="O114" s="220" t="n">
        <v>46446</v>
      </c>
      <c r="P114" s="218" t="inlineStr">
        <is>
          <t>Pendiente</t>
        </is>
      </c>
      <c r="Q114" s="221">
        <f>IF(I114="No aplica",0,H114)</f>
        <v/>
      </c>
      <c r="R114" s="221">
        <f>IF(ISNUMBER(J114),J114*H114,0)</f>
        <v/>
      </c>
    </row>
    <row r="115" ht="36" customHeight="1">
      <c r="A115" s="210" t="inlineStr">
        <is>
          <t>S-101</t>
        </is>
      </c>
      <c r="B115" s="211" t="inlineStr">
        <is>
          <t>12. Canal de denuncias y reporte de soborno transnacional</t>
        </is>
      </c>
      <c r="C115" s="212" t="inlineStr">
        <is>
          <t>9.18.1</t>
        </is>
      </c>
      <c r="D115" s="213" t="inlineStr">
        <is>
          <t>195-196</t>
        </is>
      </c>
      <c r="E115" s="214" t="inlineStr">
        <is>
          <t>Componentes tecnológicos que garanticen la reserva de los datos del denunciante y de los hechos.</t>
        </is>
      </c>
      <c r="F115" s="215" t="inlineStr">
        <is>
          <t>Evidencia técnica (cifrado, acceso restringido, registro de accesos).</t>
        </is>
      </c>
      <c r="G115" s="216" t="inlineStr">
        <is>
          <t>OC / TI</t>
        </is>
      </c>
      <c r="H115" s="217" t="n">
        <v>2</v>
      </c>
      <c r="I115" s="218" t="inlineStr">
        <is>
          <t>No cumple</t>
        </is>
      </c>
      <c r="J115" s="219">
        <f>IF(I115="","",IF(I115="No aplica","N/A",INDEX(Escala!$C$5:$C$9,MATCH(I115,Escala!$B$5:$B$9,0))))</f>
        <v/>
      </c>
      <c r="K115" s="146" t="inlineStr">
        <is>
          <t>El correo no tiene cifrado ni acceso restringido.</t>
        </is>
      </c>
      <c r="L115" s="146" t="inlineStr">
        <is>
          <t>Sin componentes tecnológicos de reserva.</t>
        </is>
      </c>
      <c r="M115" s="146" t="inlineStr">
        <is>
          <t>Plataforma con cifrado y registro de accesos.</t>
        </is>
      </c>
      <c r="N115" s="146" t="inlineStr">
        <is>
          <t>Director de TI</t>
        </is>
      </c>
      <c r="O115" s="220" t="n">
        <v>46446</v>
      </c>
      <c r="P115" s="218" t="inlineStr">
        <is>
          <t>Pendiente</t>
        </is>
      </c>
      <c r="Q115" s="221">
        <f>IF(I115="No aplica",0,H115)</f>
        <v/>
      </c>
      <c r="R115" s="221">
        <f>IF(ISNUMBER(J115),J115*H115,0)</f>
        <v/>
      </c>
    </row>
    <row r="116" ht="49" customHeight="1">
      <c r="A116" s="210" t="inlineStr">
        <is>
          <t>S-102</t>
        </is>
      </c>
      <c r="B116" s="211" t="inlineStr">
        <is>
          <t>12. Canal de denuncias y reporte de soborno transnacional</t>
        </is>
      </c>
      <c r="C116" s="212" t="inlineStr">
        <is>
          <t>9.18.1; 9.9.5 m</t>
        </is>
      </c>
      <c r="D116" s="213" t="inlineStr">
        <is>
          <t>185; 196</t>
        </is>
      </c>
      <c r="E116" s="214" t="inlineStr">
        <is>
          <t>Medidas para que ningún denunciante sea objeto de represalias (integridad física y acoso laboral); el Oficial de Cumplimiento verifica la aplicación de esa protección.</t>
        </is>
      </c>
      <c r="F116" s="215" t="inlineStr">
        <is>
          <t>Política de protección al denunciante aprobada e informe de verificación del OC.</t>
        </is>
      </c>
      <c r="G116" s="216" t="inlineStr">
        <is>
          <t>Junta Directiva / Talento humano</t>
        </is>
      </c>
      <c r="H116" s="217" t="n">
        <v>3</v>
      </c>
      <c r="I116" s="218" t="inlineStr">
        <is>
          <t>No cumple</t>
        </is>
      </c>
      <c r="J116" s="219">
        <f>IF(I116="","",IF(I116="No aplica","N/A",INDEX(Escala!$C$5:$C$9,MATCH(I116,Escala!$B$5:$B$9,0))))</f>
        <v/>
      </c>
      <c r="K116" s="146" t="inlineStr">
        <is>
          <t>No existe política de no represalias.</t>
        </is>
      </c>
      <c r="L116" s="146" t="inlineStr">
        <is>
          <t>Sin política.</t>
        </is>
      </c>
      <c r="M116" s="146" t="inlineStr">
        <is>
          <t>Adoptar la política de protección al denunciante.</t>
        </is>
      </c>
      <c r="N116" s="146" t="inlineStr">
        <is>
          <t>Junta Directiva</t>
        </is>
      </c>
      <c r="O116" s="220" t="n">
        <v>46418</v>
      </c>
      <c r="P116" s="218" t="inlineStr">
        <is>
          <t>Pendiente</t>
        </is>
      </c>
      <c r="Q116" s="221">
        <f>IF(I116="No aplica",0,H116)</f>
        <v/>
      </c>
      <c r="R116" s="221">
        <f>IF(ISNUMBER(J116),J116*H116,0)</f>
        <v/>
      </c>
    </row>
    <row r="117" ht="49" customHeight="1">
      <c r="A117" s="210" t="inlineStr">
        <is>
          <t>S-103</t>
        </is>
      </c>
      <c r="B117" s="211" t="inlineStr">
        <is>
          <t>12. Canal de denuncias y reporte de soborno transnacional</t>
        </is>
      </c>
      <c r="C117" s="212" t="inlineStr">
        <is>
          <t>9.18.1</t>
        </is>
      </c>
      <c r="D117" s="213" t="inlineStr">
        <is>
          <t>196</t>
        </is>
      </c>
      <c r="E117" s="214" t="inlineStr">
        <is>
          <t>Procedimiento expedito de recepción, atención, seguimiento y verificación de la veracidad de las denuncias, con protocolo que incentive la denuncia.</t>
        </is>
      </c>
      <c r="F117" s="215" t="inlineStr">
        <is>
          <t>Procedimiento aprobado; bitácora de casos con tiempos de atención.</t>
        </is>
      </c>
      <c r="G117" s="216" t="inlineStr">
        <is>
          <t>Oficial de Cumplimiento</t>
        </is>
      </c>
      <c r="H117" s="217" t="n">
        <v>2</v>
      </c>
      <c r="I117" s="218" t="inlineStr">
        <is>
          <t>Cumplimiento incipiente</t>
        </is>
      </c>
      <c r="J117" s="219">
        <f>IF(I117="","",IF(I117="No aplica","N/A",INDEX(Escala!$C$5:$C$9,MATCH(I117,Escala!$B$5:$B$9,0))))</f>
        <v/>
      </c>
      <c r="K117" s="146" t="inlineStr">
        <is>
          <t>Las denuncias se atienden sin procedimiento.</t>
        </is>
      </c>
      <c r="L117" s="146" t="inlineStr">
        <is>
          <t>Sin plazos ni protocolo.</t>
        </is>
      </c>
      <c r="M117" s="146" t="inlineStr">
        <is>
          <t>Procedimiento con plazos de respuesta.</t>
        </is>
      </c>
      <c r="N117" s="146" t="inlineStr">
        <is>
          <t>Oficial de Cumplimiento</t>
        </is>
      </c>
      <c r="O117" s="220" t="n">
        <v>46446</v>
      </c>
      <c r="P117" s="218" t="inlineStr">
        <is>
          <t>Pendiente</t>
        </is>
      </c>
      <c r="Q117" s="221">
        <f>IF(I117="No aplica",0,H117)</f>
        <v/>
      </c>
      <c r="R117" s="221">
        <f>IF(ISNUMBER(J117),J117*H117,0)</f>
        <v/>
      </c>
    </row>
    <row r="118" ht="36" customHeight="1">
      <c r="A118" s="210" t="inlineStr">
        <is>
          <t>S-104</t>
        </is>
      </c>
      <c r="B118" s="211" t="inlineStr">
        <is>
          <t>12. Canal de denuncias y reporte de soborno transnacional</t>
        </is>
      </c>
      <c r="C118" s="212" t="inlineStr">
        <is>
          <t>9.18.1</t>
        </is>
      </c>
      <c r="D118" s="213" t="inlineStr">
        <is>
          <t>196</t>
        </is>
      </c>
      <c r="E118" s="214" t="inlineStr">
        <is>
          <t>Verificar de forma constante y periódica el funcionamiento del canal (p. ej., ausencia de denuncias) y fomentar su uso.</t>
        </is>
      </c>
      <c r="F118" s="215" t="inlineStr">
        <is>
          <t>Pruebas del canal, estadísticas y campañas de promoción.</t>
        </is>
      </c>
      <c r="G118" s="216" t="inlineStr">
        <is>
          <t>Oficial de Cumplimiento</t>
        </is>
      </c>
      <c r="H118" s="217" t="n">
        <v>2</v>
      </c>
      <c r="I118" s="218" t="inlineStr">
        <is>
          <t>No cumple</t>
        </is>
      </c>
      <c r="J118" s="219">
        <f>IF(I118="","",IF(I118="No aplica","N/A",INDEX(Escala!$C$5:$C$9,MATCH(I118,Escala!$B$5:$B$9,0))))</f>
        <v/>
      </c>
      <c r="K118" s="146" t="inlineStr">
        <is>
          <t>No se monitorea el canal; cero denuncias en 2025.</t>
        </is>
      </c>
      <c r="L118" s="146" t="inlineStr">
        <is>
          <t>Sin pruebas ni promoción del canal.</t>
        </is>
      </c>
      <c r="M118" s="146" t="inlineStr">
        <is>
          <t>Pruebas trimestrales y campaña de promoción.</t>
        </is>
      </c>
      <c r="N118" s="146" t="inlineStr">
        <is>
          <t>Oficial de Cumplimiento</t>
        </is>
      </c>
      <c r="O118" s="220" t="n">
        <v>46477</v>
      </c>
      <c r="P118" s="218" t="inlineStr">
        <is>
          <t>Pendiente</t>
        </is>
      </c>
      <c r="Q118" s="221">
        <f>IF(I118="No aplica",0,H118)</f>
        <v/>
      </c>
      <c r="R118" s="221">
        <f>IF(ISNUMBER(J118),J118*H118,0)</f>
        <v/>
      </c>
    </row>
    <row r="119" ht="36" customHeight="1">
      <c r="A119" s="210" t="inlineStr">
        <is>
          <t>S-105</t>
        </is>
      </c>
      <c r="B119" s="211" t="inlineStr">
        <is>
          <t>12. Canal de denuncias y reporte de soborno transnacional</t>
        </is>
      </c>
      <c r="C119" s="212" t="inlineStr">
        <is>
          <t>9.18.1</t>
        </is>
      </c>
      <c r="D119" s="213" t="inlineStr">
        <is>
          <t>196</t>
        </is>
      </c>
      <c r="E119" s="214" t="inlineStr">
        <is>
          <t>Divulgar los canales externos: Supersociedades (soborno transnacional) y Secretaría de Transparencia (corrupción).</t>
        </is>
      </c>
      <c r="F119" s="215" t="inlineStr">
        <is>
          <t>Publicación en web, intranet y capacitaciones.</t>
        </is>
      </c>
      <c r="G119" s="216" t="inlineStr">
        <is>
          <t>Oficial de Cumplimiento</t>
        </is>
      </c>
      <c r="H119" s="217" t="n">
        <v>2</v>
      </c>
      <c r="I119" s="218" t="inlineStr">
        <is>
          <t>Cumple parcialmente</t>
        </is>
      </c>
      <c r="J119" s="219">
        <f>IF(I119="","",IF(I119="No aplica","N/A",INDEX(Escala!$C$5:$C$9,MATCH(I119,Escala!$B$5:$B$9,0))))</f>
        <v/>
      </c>
      <c r="K119" s="146" t="inlineStr">
        <is>
          <t>Enlace de la Supersociedades publicado en la web.</t>
        </is>
      </c>
      <c r="L119" s="146" t="inlineStr">
        <is>
          <t>Falta el canal de la Secretaría de Transparencia.</t>
        </is>
      </c>
      <c r="M119" s="146" t="inlineStr">
        <is>
          <t>Publicar ambos canales externos.</t>
        </is>
      </c>
      <c r="N119" s="146" t="inlineStr">
        <is>
          <t>Comunicaciones</t>
        </is>
      </c>
      <c r="O119" s="220" t="n">
        <v>46356</v>
      </c>
      <c r="P119" s="218" t="inlineStr">
        <is>
          <t>Pendiente</t>
        </is>
      </c>
      <c r="Q119" s="221">
        <f>IF(I119="No aplica",0,H119)</f>
        <v/>
      </c>
      <c r="R119" s="221">
        <f>IF(ISNUMBER(J119),J119*H119,0)</f>
        <v/>
      </c>
    </row>
    <row r="120" ht="36" customHeight="1">
      <c r="A120" s="210" t="inlineStr">
        <is>
          <t>S-106</t>
        </is>
      </c>
      <c r="B120" s="211" t="inlineStr">
        <is>
          <t>12. Canal de denuncias y reporte de soborno transnacional</t>
        </is>
      </c>
      <c r="C120" s="212" t="inlineStr">
        <is>
          <t>9.18.2</t>
        </is>
      </c>
      <c r="D120" s="213" t="inlineStr">
        <is>
          <t>196</t>
        </is>
      </c>
      <c r="E120" s="214" t="inlineStr">
        <is>
          <t>El revisor fiscal y el OC reportan a la Supersociedades los hechos que puedan constituir soborno transnacional.</t>
        </is>
      </c>
      <c r="F120" s="215" t="inlineStr">
        <is>
          <t>Procedimiento de reporte; constancias si aplica.</t>
        </is>
      </c>
      <c r="G120" s="216" t="inlineStr">
        <is>
          <t>OC / Revisor fiscal</t>
        </is>
      </c>
      <c r="H120" s="217" t="n">
        <v>2</v>
      </c>
      <c r="I120" s="218" t="inlineStr">
        <is>
          <t>Cumple en gran medida</t>
        </is>
      </c>
      <c r="J120" s="219">
        <f>IF(I120="","",IF(I120="No aplica","N/A",INDEX(Escala!$C$5:$C$9,MATCH(I120,Escala!$B$5:$B$9,0))))</f>
        <v/>
      </c>
      <c r="K120" s="146" t="inlineStr">
        <is>
          <t>Procedimiento de reporte de soborno transnacional en el PTEE.</t>
        </is>
      </c>
      <c r="L120" s="146" t="inlineStr">
        <is>
          <t>El Revisor Fiscal no lo conoce.</t>
        </is>
      </c>
      <c r="M120" s="146" t="inlineStr">
        <is>
          <t>Socializarlo con el Revisor Fiscal.</t>
        </is>
      </c>
      <c r="N120" s="146" t="inlineStr">
        <is>
          <t>Oficial de Cumplimiento</t>
        </is>
      </c>
      <c r="O120" s="220" t="n">
        <v>46371</v>
      </c>
      <c r="P120" s="218" t="inlineStr">
        <is>
          <t>Pendiente</t>
        </is>
      </c>
      <c r="Q120" s="221">
        <f>IF(I120="No aplica",0,H120)</f>
        <v/>
      </c>
      <c r="R120" s="221">
        <f>IF(ISNUMBER(J120),J120*H120,0)</f>
        <v/>
      </c>
    </row>
    <row r="121" ht="24" customHeight="1">
      <c r="A121" s="206" t="inlineStr">
        <is>
          <t>13  ·  ROS, AROS y señales de alerta     (7 requisitos)</t>
        </is>
      </c>
      <c r="B121" s="207" t="n"/>
      <c r="C121" s="207" t="n"/>
      <c r="D121" s="207" t="n"/>
      <c r="E121" s="207" t="n"/>
      <c r="F121" s="207" t="n"/>
      <c r="G121" s="207" t="n"/>
      <c r="H121" s="207" t="n"/>
      <c r="I121" s="208" t="n"/>
      <c r="J121" s="209">
        <f>IFERROR(SUMIFS($R$7:$R$400,$B$7:$B$400,"13. ROS, AROS y señales de alerta")/SUMIFS($Q$7:$Q$400,$B$7:$B$400,"13. ROS, AROS y señales de alerta"),"N/A")</f>
        <v/>
      </c>
      <c r="K121" s="208" t="n"/>
      <c r="L121" s="208" t="n"/>
      <c r="M121" s="208" t="n"/>
      <c r="N121" s="208" t="n"/>
      <c r="O121" s="208" t="n"/>
      <c r="P121" s="208" t="n"/>
      <c r="Q121" s="130" t="n"/>
      <c r="R121" s="130" t="n"/>
    </row>
    <row r="122" ht="49" customHeight="1">
      <c r="A122" s="210" t="inlineStr">
        <is>
          <t>S-107</t>
        </is>
      </c>
      <c r="B122" s="211" t="inlineStr">
        <is>
          <t>13. ROS, AROS y señales de alerta</t>
        </is>
      </c>
      <c r="C122" s="212" t="inlineStr">
        <is>
          <t>9.19</t>
        </is>
      </c>
      <c r="D122" s="213" t="inlineStr">
        <is>
          <t>197</t>
        </is>
      </c>
      <c r="E122" s="214" t="inlineStr">
        <is>
          <t>Herramientas tecnológicas que consoliden información y generen indicadores y alertas para identificar operaciones inusuales y sospechosas.</t>
        </is>
      </c>
      <c r="F122" s="215" t="inlineStr">
        <is>
          <t>Herramienta o aplicativo de alertas funcionando; registro de alertas generadas y gestionadas.</t>
        </is>
      </c>
      <c r="G122" s="216" t="inlineStr">
        <is>
          <t>Oficial de Cumplimiento</t>
        </is>
      </c>
      <c r="H122" s="217" t="n">
        <v>3</v>
      </c>
      <c r="I122" s="218" t="inlineStr">
        <is>
          <t>Cumple parcialmente</t>
        </is>
      </c>
      <c r="J122" s="219">
        <f>IF(I122="","",IF(I122="No aplica","N/A",INDEX(Escala!$C$5:$C$9,MATCH(I122,Escala!$B$5:$B$9,0))))</f>
        <v/>
      </c>
      <c r="K122" s="146" t="inlineStr">
        <is>
          <t>Alertas en hoja de cálculo manual.</t>
        </is>
      </c>
      <c r="L122" s="146" t="inlineStr">
        <is>
          <t>No consolida pagos y despachos.</t>
        </is>
      </c>
      <c r="M122" s="146" t="inlineStr">
        <is>
          <t>Reglas automatizadas de alerta.</t>
        </is>
      </c>
      <c r="N122" s="146" t="inlineStr">
        <is>
          <t>Director de TI</t>
        </is>
      </c>
      <c r="O122" s="220" t="n">
        <v>46507</v>
      </c>
      <c r="P122" s="218" t="inlineStr">
        <is>
          <t>Pendiente</t>
        </is>
      </c>
      <c r="Q122" s="221">
        <f>IF(I122="No aplica",0,H122)</f>
        <v/>
      </c>
      <c r="R122" s="221">
        <f>IF(ISNUMBER(J122),J122*H122,0)</f>
        <v/>
      </c>
    </row>
    <row r="123" ht="36" customHeight="1">
      <c r="A123" s="210" t="inlineStr">
        <is>
          <t>S-108</t>
        </is>
      </c>
      <c r="B123" s="211" t="inlineStr">
        <is>
          <t>13. ROS, AROS y señales de alerta</t>
        </is>
      </c>
      <c r="C123" s="212" t="inlineStr">
        <is>
          <t>9.19</t>
        </is>
      </c>
      <c r="D123" s="213" t="inlineStr">
        <is>
          <t>197</t>
        </is>
      </c>
      <c r="E123" s="214" t="inlineStr">
        <is>
          <t>Conservar los soportes del análisis de cada operación inusual o sospechosa (art. 28 Ley 962 de 2005).</t>
        </is>
      </c>
      <c r="F123" s="215" t="inlineStr">
        <is>
          <t>Expedientes de análisis completos.</t>
        </is>
      </c>
      <c r="G123" s="216" t="inlineStr">
        <is>
          <t>Oficial de Cumplimiento</t>
        </is>
      </c>
      <c r="H123" s="217" t="n">
        <v>2</v>
      </c>
      <c r="I123" s="218" t="inlineStr">
        <is>
          <t>Cumple en gran medida</t>
        </is>
      </c>
      <c r="J123" s="219">
        <f>IF(I123="","",IF(I123="No aplica","N/A",INDEX(Escala!$C$5:$C$9,MATCH(I123,Escala!$B$5:$B$9,0))))</f>
        <v/>
      </c>
      <c r="K123" s="146" t="inlineStr">
        <is>
          <t>Expedientes de alertas archivados.</t>
        </is>
      </c>
      <c r="L123" s="146" t="inlineStr">
        <is>
          <t>Dos alertas de 2025 sin conclusión escrita.</t>
        </is>
      </c>
      <c r="M123" s="146" t="inlineStr">
        <is>
          <t>Cerrarlas con conclusión documentada.</t>
        </is>
      </c>
      <c r="N123" s="146" t="inlineStr">
        <is>
          <t>Oficial de Cumplimiento</t>
        </is>
      </c>
      <c r="O123" s="220" t="n">
        <v>46300</v>
      </c>
      <c r="P123" s="218" t="inlineStr">
        <is>
          <t>Pendiente</t>
        </is>
      </c>
      <c r="Q123" s="221">
        <f>IF(I123="No aplica",0,H123)</f>
        <v/>
      </c>
      <c r="R123" s="221">
        <f>IF(ISNUMBER(J123),J123*H123,0)</f>
        <v/>
      </c>
    </row>
    <row r="124" ht="36" customHeight="1">
      <c r="A124" s="210" t="inlineStr">
        <is>
          <t>S-109</t>
        </is>
      </c>
      <c r="B124" s="211" t="inlineStr">
        <is>
          <t>13. ROS, AROS y señales de alerta</t>
        </is>
      </c>
      <c r="C124" s="212" t="inlineStr">
        <is>
          <t>9.19</t>
        </is>
      </c>
      <c r="D124" s="213" t="inlineStr">
        <is>
          <t>198</t>
        </is>
      </c>
      <c r="E124" s="214" t="inlineStr">
        <is>
          <t>Reportar de inmediato a la UIAF, vía SIREL, todas las operaciones sospechosas detectadas.</t>
        </is>
      </c>
      <c r="F124" s="215" t="inlineStr">
        <is>
          <t>Constancias de envío SIREL.</t>
        </is>
      </c>
      <c r="G124" s="216" t="inlineStr">
        <is>
          <t>Oficial de Cumplimiento</t>
        </is>
      </c>
      <c r="H124" s="217" t="n">
        <v>3</v>
      </c>
      <c r="I124" s="218" t="inlineStr">
        <is>
          <t>Cumple totalmente</t>
        </is>
      </c>
      <c r="J124" s="219">
        <f>IF(I124="","",IF(I124="No aplica","N/A",INDEX(Escala!$C$5:$C$9,MATCH(I124,Escala!$B$5:$B$9,0))))</f>
        <v/>
      </c>
      <c r="K124" s="146" t="inlineStr">
        <is>
          <t>Un ROS en 2025, enviado el mismo día de su calificación.</t>
        </is>
      </c>
      <c r="L124" s="146" t="n"/>
      <c r="M124" s="146" t="n"/>
      <c r="N124" s="146" t="n"/>
      <c r="O124" s="220" t="n"/>
      <c r="P124" s="218" t="n"/>
      <c r="Q124" s="221">
        <f>IF(I124="No aplica",0,H124)</f>
        <v/>
      </c>
      <c r="R124" s="221">
        <f>IF(ISNUMBER(J124),J124*H124,0)</f>
        <v/>
      </c>
    </row>
    <row r="125" ht="36" customHeight="1">
      <c r="A125" s="210" t="inlineStr">
        <is>
          <t>S-110</t>
        </is>
      </c>
      <c r="B125" s="211" t="inlineStr">
        <is>
          <t>13. ROS, AROS y señales de alerta</t>
        </is>
      </c>
      <c r="C125" s="212" t="inlineStr">
        <is>
          <t>9.19</t>
        </is>
      </c>
      <c r="D125" s="213" t="inlineStr">
        <is>
          <t>198</t>
        </is>
      </c>
      <c r="E125" s="214" t="inlineStr">
        <is>
          <t>OC principal y suplente registrados en SIREL con usuario propio.</t>
        </is>
      </c>
      <c r="F125" s="215" t="inlineStr">
        <is>
          <t>Usuario SIREL activo para ambos.</t>
        </is>
      </c>
      <c r="G125" s="216" t="inlineStr">
        <is>
          <t>Oficial de Cumplimiento</t>
        </is>
      </c>
      <c r="H125" s="217" t="n">
        <v>3</v>
      </c>
      <c r="I125" s="218" t="inlineStr">
        <is>
          <t>Cumple parcialmente</t>
        </is>
      </c>
      <c r="J125" s="219">
        <f>IF(I125="","",IF(I125="No aplica","N/A",INDEX(Escala!$C$5:$C$9,MATCH(I125,Escala!$B$5:$B$9,0))))</f>
        <v/>
      </c>
      <c r="K125" s="146" t="inlineStr">
        <is>
          <t>El OC principal está registrado en SIREL.</t>
        </is>
      </c>
      <c r="L125" s="146" t="inlineStr">
        <is>
          <t>El suplente no tiene usuario SIREL.</t>
        </is>
      </c>
      <c r="M125" s="146" t="inlineStr">
        <is>
          <t>Solicitar el usuario del suplente.</t>
        </is>
      </c>
      <c r="N125" s="146" t="inlineStr">
        <is>
          <t>OC suplente</t>
        </is>
      </c>
      <c r="O125" s="220" t="n">
        <v>46326</v>
      </c>
      <c r="P125" s="218" t="inlineStr">
        <is>
          <t>En curso</t>
        </is>
      </c>
      <c r="Q125" s="221">
        <f>IF(I125="No aplica",0,H125)</f>
        <v/>
      </c>
      <c r="R125" s="221">
        <f>IF(ISNUMBER(J125),J125*H125,0)</f>
        <v/>
      </c>
    </row>
    <row r="126" ht="36" customHeight="1">
      <c r="A126" s="210" t="inlineStr">
        <is>
          <t>S-111</t>
        </is>
      </c>
      <c r="B126" s="211" t="inlineStr">
        <is>
          <t>13. ROS, AROS y señales de alerta</t>
        </is>
      </c>
      <c r="C126" s="212" t="inlineStr">
        <is>
          <t>9.19</t>
        </is>
      </c>
      <c r="D126" s="213" t="inlineStr">
        <is>
          <t>198</t>
        </is>
      </c>
      <c r="E126" s="214" t="inlineStr">
        <is>
          <t>Presentar el informe de ausencia de ROS (AROS) dentro de los 10 días calendario siguientes a cada trimestre sin ROS.</t>
        </is>
      </c>
      <c r="F126" s="215" t="inlineStr">
        <is>
          <t>Constancias trimestrales SIREL.</t>
        </is>
      </c>
      <c r="G126" s="216" t="inlineStr">
        <is>
          <t>Oficial de Cumplimiento</t>
        </is>
      </c>
      <c r="H126" s="217" t="n">
        <v>3</v>
      </c>
      <c r="I126" s="218" t="inlineStr">
        <is>
          <t>Cumple en gran medida</t>
        </is>
      </c>
      <c r="J126" s="219">
        <f>IF(I126="","",IF(I126="No aplica","N/A",INDEX(Escala!$C$5:$C$9,MATCH(I126,Escala!$B$5:$B$9,0))))</f>
        <v/>
      </c>
      <c r="K126" s="146" t="inlineStr">
        <is>
          <t>AROS de T1 a T3 de 2026 presentados.</t>
        </is>
      </c>
      <c r="L126" s="146" t="inlineStr">
        <is>
          <t>El AROS de T3 se radicó el día 12 (plazo: 10 días calendario).</t>
        </is>
      </c>
      <c r="M126" s="146" t="inlineStr">
        <is>
          <t>Alerta de calendario y suplente como respaldo.</t>
        </is>
      </c>
      <c r="N126" s="146" t="inlineStr">
        <is>
          <t>Oficial de Cumplimiento</t>
        </is>
      </c>
      <c r="O126" s="220" t="n">
        <v>46387</v>
      </c>
      <c r="P126" s="218" t="inlineStr">
        <is>
          <t>Pendiente</t>
        </is>
      </c>
      <c r="Q126" s="221">
        <f>IF(I126="No aplica",0,H126)</f>
        <v/>
      </c>
      <c r="R126" s="221">
        <f>IF(ISNUMBER(J126),J126*H126,0)</f>
        <v/>
      </c>
    </row>
    <row r="127" ht="36" customHeight="1">
      <c r="A127" s="210" t="inlineStr">
        <is>
          <t>S-112</t>
        </is>
      </c>
      <c r="B127" s="211" t="inlineStr">
        <is>
          <t>13. ROS, AROS y señales de alerta</t>
        </is>
      </c>
      <c r="C127" s="212" t="inlineStr">
        <is>
          <t>9.19</t>
        </is>
      </c>
      <c r="D127" s="213" t="inlineStr">
        <is>
          <t>198</t>
        </is>
      </c>
      <c r="E127" s="214" t="inlineStr">
        <is>
          <t>Garantizar la reserva del ROS remitido a la UIAF (Ley 526 de 1999).</t>
        </is>
      </c>
      <c r="F127" s="215" t="inlineStr">
        <is>
          <t>Acceso restringido y cláusulas de confidencialidad.</t>
        </is>
      </c>
      <c r="G127" s="216" t="inlineStr">
        <is>
          <t>Oficial de Cumplimiento</t>
        </is>
      </c>
      <c r="H127" s="217" t="n">
        <v>2</v>
      </c>
      <c r="I127" s="218" t="inlineStr">
        <is>
          <t>Cumple totalmente</t>
        </is>
      </c>
      <c r="J127" s="219">
        <f>IF(I127="","",IF(I127="No aplica","N/A",INDEX(Escala!$C$5:$C$9,MATCH(I127,Escala!$B$5:$B$9,0))))</f>
        <v/>
      </c>
      <c r="K127" s="146" t="inlineStr">
        <is>
          <t>Acceso a los ROS restringido al OC y al RL.</t>
        </is>
      </c>
      <c r="L127" s="146" t="n"/>
      <c r="M127" s="146" t="n"/>
      <c r="N127" s="146" t="n"/>
      <c r="O127" s="220" t="n"/>
      <c r="P127" s="218" t="n"/>
      <c r="Q127" s="221">
        <f>IF(I127="No aplica",0,H127)</f>
        <v/>
      </c>
      <c r="R127" s="221">
        <f>IF(ISNUMBER(J127),J127*H127,0)</f>
        <v/>
      </c>
    </row>
    <row r="128" ht="62" customHeight="1">
      <c r="A128" s="210" t="inlineStr">
        <is>
          <t>S-113</t>
        </is>
      </c>
      <c r="B128" s="211" t="inlineStr">
        <is>
          <t>13. ROS, AROS y señales de alerta</t>
        </is>
      </c>
      <c r="C128" s="212" t="inlineStr">
        <is>
          <t>9.20</t>
        </is>
      </c>
      <c r="D128" s="213" t="inlineStr">
        <is>
          <t>198-200</t>
        </is>
      </c>
      <c r="E128" s="214" t="inlineStr">
        <is>
          <t>Construir señales de alerta propias según los factores de riesgo (contrapartes, medios de pago, registros contables, estructura societaria), considerando las de la Circular y los catálogos para APNFD.</t>
        </is>
      </c>
      <c r="F128" s="215" t="inlineStr">
        <is>
          <t>Catálogo propio de señales de alerta vinculado a la matriz.</t>
        </is>
      </c>
      <c r="G128" s="216" t="inlineStr">
        <is>
          <t>Oficial de Cumplimiento</t>
        </is>
      </c>
      <c r="H128" s="217" t="n">
        <v>2</v>
      </c>
      <c r="I128" s="218" t="inlineStr">
        <is>
          <t>Cumple parcialmente</t>
        </is>
      </c>
      <c r="J128" s="219">
        <f>IF(I128="","",IF(I128="No aplica","N/A",INDEX(Escala!$C$5:$C$9,MATCH(I128,Escala!$B$5:$B$9,0))))</f>
        <v/>
      </c>
      <c r="K128" s="146" t="inlineStr">
        <is>
          <t>Se usa la lista de señales de la Circular.</t>
        </is>
      </c>
      <c r="L128" s="146" t="inlineStr">
        <is>
          <t>Sin señales propias de logística y precios.</t>
        </is>
      </c>
      <c r="M128" s="146" t="inlineStr">
        <is>
          <t>Catálogo propio de señales de alerta en la Política Integral.</t>
        </is>
      </c>
      <c r="N128" s="146" t="inlineStr">
        <is>
          <t>Oficial de Cumplimiento</t>
        </is>
      </c>
      <c r="O128" s="220" t="n">
        <v>46418</v>
      </c>
      <c r="P128" s="218" t="inlineStr">
        <is>
          <t>Pendiente</t>
        </is>
      </c>
      <c r="Q128" s="221">
        <f>IF(I128="No aplica",0,H128)</f>
        <v/>
      </c>
      <c r="R128" s="221">
        <f>IF(ISNUMBER(J128),J128*H128,0)</f>
        <v/>
      </c>
    </row>
    <row r="129" ht="24" customHeight="1">
      <c r="A129" s="206" t="inlineStr">
        <is>
          <t>14  ·  Conservación de la información     (3 requisitos)</t>
        </is>
      </c>
      <c r="B129" s="207" t="n"/>
      <c r="C129" s="207" t="n"/>
      <c r="D129" s="207" t="n"/>
      <c r="E129" s="207" t="n"/>
      <c r="F129" s="207" t="n"/>
      <c r="G129" s="207" t="n"/>
      <c r="H129" s="207" t="n"/>
      <c r="I129" s="208" t="n"/>
      <c r="J129" s="209">
        <f>IFERROR(SUMIFS($R$7:$R$400,$B$7:$B$400,"14. Conservación de la información")/SUMIFS($Q$7:$Q$400,$B$7:$B$400,"14. Conservación de la información"),"N/A")</f>
        <v/>
      </c>
      <c r="K129" s="208" t="n"/>
      <c r="L129" s="208" t="n"/>
      <c r="M129" s="208" t="n"/>
      <c r="N129" s="208" t="n"/>
      <c r="O129" s="208" t="n"/>
      <c r="P129" s="208" t="n"/>
      <c r="Q129" s="130" t="n"/>
      <c r="R129" s="130" t="n"/>
    </row>
    <row r="130" ht="62" customHeight="1">
      <c r="A130" s="210" t="inlineStr">
        <is>
          <t>S-114</t>
        </is>
      </c>
      <c r="B130" s="211" t="inlineStr">
        <is>
          <t>14. Conservación de la información</t>
        </is>
      </c>
      <c r="C130" s="212" t="inlineStr">
        <is>
          <t>9.22; 9.7.3 b.6</t>
        </is>
      </c>
      <c r="D130" s="213" t="inlineStr">
        <is>
          <t>179-180; 203</t>
        </is>
      </c>
      <c r="E130" s="214" t="inlineStr">
        <is>
          <t>Las actividades del Sistema reposan en documentos y registros que garantizan integridad, oportunidad, confiabilidad, reserva y disponibilidad, verificados por el Representante Legal.</t>
        </is>
      </c>
      <c r="F130" s="215" t="inlineStr">
        <is>
          <t>Repositorio con control de versiones, acceso por perfiles y respaldo; constancia de verificación periódica del RL.</t>
        </is>
      </c>
      <c r="G130" s="216" t="inlineStr">
        <is>
          <t>OC / RL</t>
        </is>
      </c>
      <c r="H130" s="217" t="n">
        <v>2</v>
      </c>
      <c r="I130" s="218" t="inlineStr">
        <is>
          <t>Cumple en gran medida</t>
        </is>
      </c>
      <c r="J130" s="219">
        <f>IF(I130="","",IF(I130="No aplica","N/A",INDEX(Escala!$C$5:$C$9,MATCH(I130,Escala!$B$5:$B$9,0))))</f>
        <v/>
      </c>
      <c r="K130" s="146" t="inlineStr">
        <is>
          <t>Repositorio digital con respaldo; el RL no deja constancia de su verificación.</t>
        </is>
      </c>
      <c r="L130" s="146" t="inlineStr">
        <is>
          <t>Sin control de versiones, sin acceso por perfiles ni verificación documentada del RL.</t>
        </is>
      </c>
      <c r="M130" s="146" t="inlineStr">
        <is>
          <t>Repositorio con permisos por perfil y verificación semestral del RL.</t>
        </is>
      </c>
      <c r="N130" s="146" t="inlineStr">
        <is>
          <t>Director de TI</t>
        </is>
      </c>
      <c r="O130" s="220" t="n">
        <v>46418</v>
      </c>
      <c r="P130" s="218" t="inlineStr">
        <is>
          <t>Pendiente</t>
        </is>
      </c>
      <c r="Q130" s="221">
        <f>IF(I130="No aplica",0,H130)</f>
        <v/>
      </c>
      <c r="R130" s="221">
        <f>IF(ISNUMBER(J130),J130*H130,0)</f>
        <v/>
      </c>
    </row>
    <row r="131" ht="36" customHeight="1">
      <c r="A131" s="210" t="inlineStr">
        <is>
          <t>S-115</t>
        </is>
      </c>
      <c r="B131" s="211" t="inlineStr">
        <is>
          <t>14. Conservación de la información</t>
        </is>
      </c>
      <c r="C131" s="212" t="inlineStr">
        <is>
          <t>9.22</t>
        </is>
      </c>
      <c r="D131" s="213" t="inlineStr">
        <is>
          <t>203</t>
        </is>
      </c>
      <c r="E131" s="214" t="inlineStr">
        <is>
          <t>La información de DD y DDI queda documentada con el nombre de quien la verificó, fecha y hora.</t>
        </is>
      </c>
      <c r="F131" s="215" t="inlineStr">
        <is>
          <t>Registro con trazabilidad (quién y cuándo verificó).</t>
        </is>
      </c>
      <c r="G131" s="216" t="inlineStr">
        <is>
          <t>Oficial de Cumplimiento</t>
        </is>
      </c>
      <c r="H131" s="217" t="n">
        <v>3</v>
      </c>
      <c r="I131" s="218" t="inlineStr">
        <is>
          <t>Cumple parcialmente</t>
        </is>
      </c>
      <c r="J131" s="219">
        <f>IF(I131="","",IF(I131="No aplica","N/A",INDEX(Escala!$C$5:$C$9,MATCH(I131,Escala!$B$5:$B$9,0))))</f>
        <v/>
      </c>
      <c r="K131" s="146" t="inlineStr">
        <is>
          <t>Las consultas en listas guardan fecha y hora automáticamente.</t>
        </is>
      </c>
      <c r="L131" s="146" t="inlineStr">
        <is>
          <t>Las verificaciones manuales no registran quién verificó.</t>
        </is>
      </c>
      <c r="M131" s="146" t="inlineStr">
        <is>
          <t>Campo 'verificado por' en los formatos.</t>
        </is>
      </c>
      <c r="N131" s="146" t="inlineStr">
        <is>
          <t>Oficial de Cumplimiento</t>
        </is>
      </c>
      <c r="O131" s="220" t="n">
        <v>46371</v>
      </c>
      <c r="P131" s="218" t="inlineStr">
        <is>
          <t>Pendiente</t>
        </is>
      </c>
      <c r="Q131" s="221">
        <f>IF(I131="No aplica",0,H131)</f>
        <v/>
      </c>
      <c r="R131" s="221">
        <f>IF(ISNUMBER(J131),J131*H131,0)</f>
        <v/>
      </c>
    </row>
    <row r="132" ht="49" customHeight="1">
      <c r="A132" s="210" t="inlineStr">
        <is>
          <t>S-116</t>
        </is>
      </c>
      <c r="B132" s="211" t="inlineStr">
        <is>
          <t>14. Conservación de la información</t>
        </is>
      </c>
      <c r="C132" s="212" t="inlineStr">
        <is>
          <t>9.22</t>
        </is>
      </c>
      <c r="D132" s="213" t="inlineStr">
        <is>
          <t>203</t>
        </is>
      </c>
      <c r="E132" s="214" t="inlineStr">
        <is>
          <t>Conservar los soportes según el art. 28 de la Ley 962 de 2005 (y par. 3 art. 12 Ley 2195/2022), respetando la protección de datos personales.</t>
        </is>
      </c>
      <c r="F132" s="215" t="inlineStr">
        <is>
          <t>Tabla de retención documental.</t>
        </is>
      </c>
      <c r="G132" s="216" t="inlineStr">
        <is>
          <t>Oficial de Cumplimiento</t>
        </is>
      </c>
      <c r="H132" s="217" t="n">
        <v>2</v>
      </c>
      <c r="I132" s="218" t="inlineStr">
        <is>
          <t>Cumple totalmente</t>
        </is>
      </c>
      <c r="J132" s="219">
        <f>IF(I132="","",IF(I132="No aplica","N/A",INDEX(Escala!$C$5:$C$9,MATCH(I132,Escala!$B$5:$B$9,0))))</f>
        <v/>
      </c>
      <c r="K132" s="146" t="inlineStr">
        <is>
          <t>Tabla de retención documental a 10 años.</t>
        </is>
      </c>
      <c r="L132" s="146" t="n"/>
      <c r="M132" s="146" t="n"/>
      <c r="N132" s="146" t="n"/>
      <c r="O132" s="220" t="n"/>
      <c r="P132" s="218" t="n"/>
      <c r="Q132" s="221">
        <f>IF(I132="No aplica",0,H132)</f>
        <v/>
      </c>
      <c r="R132" s="221">
        <f>IF(ISNUMBER(J132),J132*H132,0)</f>
        <v/>
      </c>
    </row>
    <row r="133" ht="24" customHeight="1">
      <c r="A133" s="206" t="inlineStr">
        <is>
          <t>15  ·  Transición y permanencia     (3 requisitos)</t>
        </is>
      </c>
      <c r="B133" s="207" t="n"/>
      <c r="C133" s="207" t="n"/>
      <c r="D133" s="207" t="n"/>
      <c r="E133" s="207" t="n"/>
      <c r="F133" s="207" t="n"/>
      <c r="G133" s="207" t="n"/>
      <c r="H133" s="207" t="n"/>
      <c r="I133" s="208" t="n"/>
      <c r="J133" s="209">
        <f>IFERROR(SUMIFS($R$7:$R$400,$B$7:$B$400,"15. Transición y permanencia")/SUMIFS($Q$7:$Q$400,$B$7:$B$400,"15. Transición y permanencia"),"N/A")</f>
        <v/>
      </c>
      <c r="K133" s="208" t="n"/>
      <c r="L133" s="208" t="n"/>
      <c r="M133" s="208" t="n"/>
      <c r="N133" s="208" t="n"/>
      <c r="O133" s="208" t="n"/>
      <c r="P133" s="208" t="n"/>
      <c r="Q133" s="130" t="n"/>
      <c r="R133" s="130" t="n"/>
    </row>
    <row r="134" ht="49" customHeight="1">
      <c r="A134" s="210" t="inlineStr">
        <is>
          <t>S-117</t>
        </is>
      </c>
      <c r="B134" s="211" t="inlineStr">
        <is>
          <t>15. Transición y permanencia</t>
        </is>
      </c>
      <c r="C134" s="212" t="inlineStr">
        <is>
          <t>9.29</t>
        </is>
      </c>
      <c r="D134" s="213" t="inlineStr">
        <is>
          <t>206-207</t>
        </is>
      </c>
      <c r="E134" s="214" t="inlineStr">
        <is>
          <t>Si ya estaba obligado por las CE 100-000016/2020, 100-000011/2021 o 100-300000/2024: ajustar el Sistema al Capítulo IX a más tardar el 31 de mayo de 2027.</t>
        </is>
      </c>
      <c r="F134" s="215" t="inlineStr">
        <is>
          <t>Plan de transición con cronograma y acta de aprobación del Sistema unificado antes del 31/05/2027.</t>
        </is>
      </c>
      <c r="G134" s="216" t="inlineStr">
        <is>
          <t>Junta Directiva / RL / OC</t>
        </is>
      </c>
      <c r="H134" s="217" t="n">
        <v>3</v>
      </c>
      <c r="I134" s="218" t="inlineStr">
        <is>
          <t>Cumple parcialmente</t>
        </is>
      </c>
      <c r="J134" s="219">
        <f>IF(I134="","",IF(I134="No aplica","N/A",INDEX(Escala!$C$5:$C$9,MATCH(I134,Escala!$B$5:$B$9,0))))</f>
        <v/>
      </c>
      <c r="K134" s="146" t="inlineStr">
        <is>
          <t>Política Integral en borrador y cronograma de transición.</t>
        </is>
      </c>
      <c r="L134" s="146" t="inlineStr">
        <is>
          <t>Falta aprobar el Sistema unificado.</t>
        </is>
      </c>
      <c r="M134" s="146" t="inlineStr">
        <is>
          <t>Aprobación en Junta en abril de 2027.</t>
        </is>
      </c>
      <c r="N134" s="146" t="inlineStr">
        <is>
          <t>Junta / RL / OC</t>
        </is>
      </c>
      <c r="O134" s="220" t="n">
        <v>46507</v>
      </c>
      <c r="P134" s="218" t="inlineStr">
        <is>
          <t>Pendiente</t>
        </is>
      </c>
      <c r="Q134" s="221">
        <f>IF(I134="No aplica",0,H134)</f>
        <v/>
      </c>
      <c r="R134" s="221">
        <f>IF(ISNUMBER(J134),J134*H134,0)</f>
        <v/>
      </c>
    </row>
    <row r="135" ht="49" customHeight="1">
      <c r="A135" s="210" t="inlineStr">
        <is>
          <t>S-118A</t>
        </is>
      </c>
      <c r="B135" s="211" t="inlineStr">
        <is>
          <t>15. Transición y permanencia</t>
        </is>
      </c>
      <c r="C135" s="212" t="inlineStr">
        <is>
          <t>9.28</t>
        </is>
      </c>
      <c r="D135" s="213" t="inlineStr">
        <is>
          <t>206</t>
        </is>
      </c>
      <c r="E135" s="214" t="inlineStr">
        <is>
          <t>Nuevos obligados: poner en marcha el Sistema a más tardar el 31 de mayo del año siguiente a aquel en que adquirieron la calidad de obligados.</t>
        </is>
      </c>
      <c r="F135" s="215" t="inlineStr">
        <is>
          <t>Acta de aprobación dentro del plazo (marcar 'No aplica' si ya estaba obligado antes).</t>
        </is>
      </c>
      <c r="G135" s="216" t="inlineStr">
        <is>
          <t>Junta Directiva / RL</t>
        </is>
      </c>
      <c r="H135" s="217" t="n">
        <v>2</v>
      </c>
      <c r="I135" s="218" t="inlineStr">
        <is>
          <t>No aplica</t>
        </is>
      </c>
      <c r="J135" s="219">
        <f>IF(I135="","",IF(I135="No aplica","N/A",INDEX(Escala!$C$5:$C$9,MATCH(I135,Escala!$B$5:$B$9,0))))</f>
        <v/>
      </c>
      <c r="K135" s="146" t="inlineStr">
        <is>
          <t>La Empresa está obligada desde 2021; no es nueva obligada.</t>
        </is>
      </c>
      <c r="L135" s="146" t="n"/>
      <c r="M135" s="146" t="n"/>
      <c r="N135" s="146" t="n"/>
      <c r="O135" s="220" t="n"/>
      <c r="P135" s="218" t="n"/>
      <c r="Q135" s="221">
        <f>IF(I135="No aplica",0,H135)</f>
        <v/>
      </c>
      <c r="R135" s="221">
        <f>IF(ISNUMBER(J135),J135*H135,0)</f>
        <v/>
      </c>
    </row>
    <row r="136" ht="36" customHeight="1">
      <c r="A136" s="210" t="inlineStr">
        <is>
          <t>S-118B</t>
        </is>
      </c>
      <c r="B136" s="211" t="inlineStr">
        <is>
          <t>15. Transición y permanencia</t>
        </is>
      </c>
      <c r="C136" s="212" t="inlineStr">
        <is>
          <t>9.30</t>
        </is>
      </c>
      <c r="D136" s="213" t="inlineStr">
        <is>
          <t>207</t>
        </is>
      </c>
      <c r="E136" s="214" t="inlineStr">
        <is>
          <t>Si deja de cumplir los umbrales, mantener el Sistema por 2 años adicionales; vigilar los umbrales cada año.</t>
        </is>
      </c>
      <c r="F136" s="215" t="inlineStr">
        <is>
          <t>Revisión anual de umbrales al cierre contable.</t>
        </is>
      </c>
      <c r="G136" s="216" t="inlineStr">
        <is>
          <t>Oficial de Cumplimiento</t>
        </is>
      </c>
      <c r="H136" s="217" t="n">
        <v>1</v>
      </c>
      <c r="I136" s="218" t="inlineStr">
        <is>
          <t>Cumple totalmente</t>
        </is>
      </c>
      <c r="J136" s="219">
        <f>IF(I136="","",IF(I136="No aplica","N/A",INDEX(Escala!$C$5:$C$9,MATCH(I136,Escala!$B$5:$B$9,0))))</f>
        <v/>
      </c>
      <c r="K136" s="146" t="inlineStr">
        <is>
          <t>Revisión anual de umbrales en el cierre contable.</t>
        </is>
      </c>
      <c r="L136" s="146" t="n"/>
      <c r="M136" s="146" t="n"/>
      <c r="N136" s="146" t="n"/>
      <c r="O136" s="220" t="n"/>
      <c r="P136" s="218" t="n"/>
      <c r="Q136" s="221">
        <f>IF(I136="No aplica",0,H136)</f>
        <v/>
      </c>
      <c r="R136" s="221">
        <f>IF(ISNUMBER(J136),J136*H136,0)</f>
        <v/>
      </c>
    </row>
  </sheetData>
  <autoFilter ref="A6:P136"/>
  <mergeCells count="20">
    <mergeCell ref="A48:H48"/>
    <mergeCell ref="A92:H92"/>
    <mergeCell ref="A73:H73"/>
    <mergeCell ref="A4:P4"/>
    <mergeCell ref="A79:H79"/>
    <mergeCell ref="A7:H7"/>
    <mergeCell ref="A25:H25"/>
    <mergeCell ref="A108:H108"/>
    <mergeCell ref="A133:H133"/>
    <mergeCell ref="A113:H113"/>
    <mergeCell ref="A129:H129"/>
    <mergeCell ref="A42:H42"/>
    <mergeCell ref="I5:J5"/>
    <mergeCell ref="A14:H14"/>
    <mergeCell ref="A5:H5"/>
    <mergeCell ref="K5:P5"/>
    <mergeCell ref="A63:H63"/>
    <mergeCell ref="A121:H121"/>
    <mergeCell ref="A3:P3"/>
    <mergeCell ref="A34:H34"/>
  </mergeCells>
  <conditionalFormatting sqref="O8:O13 O15:O24 O26:O33 O35:O41 O43:O47 O49:O62 O64:O72 O74:O78 O80:O91 O93:O107 O109:O112 O114:O120 O122:O128 O130:O132 O134:O136">
    <cfRule type="expression" priority="1" dxfId="8" stopIfTrue="1">
      <formula>AND(ISNUMBER(O8),O8&lt;TODAY(),P8&lt;&gt;"Cerrada")</formula>
    </cfRule>
    <cfRule type="expression" priority="2" dxfId="9" stopIfTrue="1">
      <formula>AND(ISNUMBER(O8),O8&gt;DATE(2027,5,31))</formula>
    </cfRule>
  </conditionalFormatting>
  <conditionalFormatting sqref="P8:P13 P15:P24 P26:P33 P35:P41 P43:P47 P49:P62 P64:P72 P74:P78 P80:P91 P93:P107 P109:P112 P114:P120 P122:P128 P130:P132 P134:P136">
    <cfRule type="expression" priority="3" dxfId="10">
      <formula>P8="Cerrada"</formula>
    </cfRule>
    <cfRule type="expression" priority="4" dxfId="11">
      <formula>P8="En curso"</formula>
    </cfRule>
    <cfRule type="expression" priority="5" dxfId="12">
      <formula>P8="Pendiente"</formula>
    </cfRule>
  </conditionalFormatting>
  <conditionalFormatting sqref="I8:I13 I15:I24 I26:I33 I35:I41 I43:I47 I49:I62 I64:I72 I74:I78 I80:I91 I93:I107 I109:I112 I114:I120 I122:I128 I130:I132 I134:I136">
    <cfRule type="expression" priority="6" dxfId="10">
      <formula>I8="Cumple totalmente"</formula>
    </cfRule>
    <cfRule type="expression" priority="7" dxfId="13">
      <formula>I8="Cumple en gran medida"</formula>
    </cfRule>
    <cfRule type="expression" priority="8" dxfId="11">
      <formula>I8="Cumple parcialmente"</formula>
    </cfRule>
    <cfRule type="expression" priority="9" dxfId="9">
      <formula>I8="Cumplimiento incipiente"</formula>
    </cfRule>
    <cfRule type="expression" priority="10" dxfId="8">
      <formula>I8="No cumple"</formula>
    </cfRule>
    <cfRule type="expression" priority="11" dxfId="14">
      <formula>I8="No aplica"</formula>
    </cfRule>
  </conditionalFormatting>
  <conditionalFormatting sqref="J8:J13 J15:J24 J26:J33 J35:J41 J43:J47 J49:J62 J64:J72 J74:J78 J80:J91 J93:J107 J109:J112 J114:J120 J122:J128 J130:J132 J134:J136">
    <cfRule type="expression" priority="12" dxfId="4" stopIfTrue="1">
      <formula>AND(ISNUMBER(J8),J8&gt;=Escala!$C$14)</formula>
    </cfRule>
    <cfRule type="expression" priority="13" dxfId="5" stopIfTrue="1">
      <formula>AND(ISNUMBER(J8),J8&gt;=Escala!$C$15)</formula>
    </cfRule>
    <cfRule type="expression" priority="14" dxfId="6" stopIfTrue="1">
      <formula>AND(ISNUMBER(J8),J8&gt;=Escala!$C$16)</formula>
    </cfRule>
    <cfRule type="expression" priority="15" dxfId="7" stopIfTrue="1">
      <formula>ISNUMBER(J8)</formula>
    </cfRule>
    <cfRule type="dataBar" priority="16">
      <dataBar showValue="1">
        <cfvo type="num" val="0"/>
        <cfvo type="num" val="1"/>
        <color rgb="FFE3B8B2"/>
      </dataBar>
    </cfRule>
  </conditionalFormatting>
  <conditionalFormatting sqref="A7:H136 K7:P136">
    <cfRule type="expression" priority="17" dxfId="15">
      <formula>$I7="No aplica"</formula>
    </cfRule>
  </conditionalFormatting>
  <dataValidations count="3">
    <dataValidation sqref="I8:I13 I15:I24 I26:I33 I35:I41 I43:I47 I49:I62 I64:I72 I74:I78 I80:I91 I93:I107 I109:I112 I114:I120 I122:I128 I130:I132 I134:I136" showDropDown="0" showInputMessage="0" showErrorMessage="1" allowBlank="1" errorTitle="Estado no válido" error="Seleccione un estado de la lista." type="list">
      <formula1>=Escala!$B$5:$B$10</formula1>
    </dataValidation>
    <dataValidation sqref="H8:H13 H15:H24 H26:H33 H35:H41 H43:H47 H49:H62 H64:H72 H74:H78 H80:H91 H93:H107 H109:H112 H114:H120 H122:H128 H130:H132 H134:H136" showDropDown="0" showInputMessage="0" showErrorMessage="1" allowBlank="0" errorTitle="Peso no válido" error="El peso debe ser 0, 1, 2 o 3 (0 = recomendación, no suma al %)." type="whole" operator="between">
      <formula1>0</formula1>
      <formula2>3</formula2>
    </dataValidation>
    <dataValidation sqref="P8:P13 P15:P24 P26:P33 P35:P41 P43:P47 P49:P62 P64:P72 P74:P78 P80:P91 P93:P107 P109:P112 P114:P120 P122:P128 P130:P132 P134:P136" showDropDown="0" showInputMessage="0" showErrorMessage="1" allowBlank="1" errorTitle="Estado no válido" error="Seleccione Pendiente, En curso o Cerrada." type="list">
      <formula1>=Escala!$I$5:$I$7</formula1>
    </dataValidation>
  </dataValidations>
  <pageMargins left="0.75" right="0.75" top="1" bottom="1" header="0.5" footer="0.5"/>
  <pageSetup orientation="landscape" fitToHeight="0" fitToWidth="1"/>
  <headerFooter>
    <oddHeader>&amp;L&amp;"Georgia,Bold"&amp;KA12B22Criterio Compliance&amp;R&amp;K57534A&amp;A</oddHeader>
    <oddFooter>&amp;L&amp;8 &amp;K57534Acriteriocompliance.com · Herramienta orientativa: no reemplaza la asesoría profesional&amp;R&amp;8 Pág. &amp;P de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A12B22"/>
    <outlinePr summaryBelow="1" summaryRight="1"/>
    <pageSetUpPr fitToPage="1"/>
  </sheetPr>
  <dimension ref="A1:R35"/>
  <sheetViews>
    <sheetView showGridLines="0" zoomScale="90" workbookViewId="0">
      <pane xSplit="5" ySplit="6" topLeftCell="F7"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hidden="1" width="20" customWidth="1" min="2" max="2"/>
    <col width="10" customWidth="1" min="3" max="3"/>
    <col width="7" customWidth="1" min="4" max="4"/>
    <col width="56" customWidth="1" min="5" max="5"/>
    <col width="44" customWidth="1" min="6" max="6"/>
    <col width="15" customWidth="1" min="7" max="7"/>
    <col width="6" customWidth="1" min="8" max="8"/>
    <col width="23" customWidth="1" min="9" max="9"/>
    <col width="11" customWidth="1" min="10" max="10"/>
    <col width="32" customWidth="1" min="11" max="11"/>
    <col width="28" customWidth="1" min="12" max="12"/>
    <col width="32" customWidth="1" min="13" max="13"/>
    <col width="15" customWidth="1" min="14" max="14"/>
    <col width="12" customWidth="1" min="15" max="15"/>
    <col width="13" customWidth="1" min="16" max="16"/>
    <col hidden="1" width="8" customWidth="1" min="17" max="17"/>
    <col hidden="1" width="8" customWidth="1" min="18" max="18"/>
  </cols>
  <sheetData>
    <row r="1">
      <c r="A1" s="199" t="inlineStr">
        <is>
          <t>Matriz de cumplimiento · Régimen de Medidas Mínimas (RMM)</t>
        </is>
      </c>
      <c r="B1" s="130" t="n"/>
      <c r="C1" s="130" t="n"/>
      <c r="D1" s="130" t="n"/>
      <c r="E1" s="130" t="n"/>
      <c r="F1" s="130" t="n"/>
      <c r="G1" s="130" t="n"/>
      <c r="H1" s="130" t="n"/>
      <c r="I1" s="130" t="n"/>
      <c r="J1" s="130" t="n"/>
      <c r="K1" s="130" t="n"/>
      <c r="L1" s="130" t="n"/>
      <c r="M1" s="130" t="n"/>
      <c r="N1" s="130" t="n"/>
      <c r="O1" s="130" t="n"/>
      <c r="P1" s="130" t="n"/>
      <c r="Q1" s="130" t="n"/>
      <c r="R1" s="130" t="n"/>
    </row>
    <row r="2">
      <c r="A2" s="134" t="inlineStr">
        <is>
          <t>Fuente: Circular Externa 100-000020 del 2 de julio de 2026 (Supersociedades), Capítulo IX de la Circular Básica Jurídica · 'Pág.' = página de la Circular · diligencie solo las celdas amarillas.</t>
        </is>
      </c>
      <c r="B2" s="130" t="n"/>
      <c r="C2" s="130" t="n"/>
      <c r="D2" s="130" t="n"/>
      <c r="E2" s="130" t="n"/>
      <c r="F2" s="130" t="n"/>
      <c r="G2" s="130" t="n"/>
      <c r="H2" s="130" t="n"/>
      <c r="I2" s="130" t="n"/>
      <c r="J2" s="130" t="n"/>
      <c r="K2" s="130" t="n"/>
      <c r="L2" s="130" t="n"/>
      <c r="M2" s="130" t="n"/>
      <c r="N2" s="130" t="n"/>
      <c r="O2" s="130" t="n"/>
      <c r="P2" s="130" t="n"/>
      <c r="Q2" s="130" t="n"/>
      <c r="R2" s="130" t="n"/>
    </row>
    <row r="3" ht="26" customHeight="1">
      <c r="A3" s="200">
        <f>"Cumplimiento global: "&amp;IFERROR(TEXT(SUM($R$7:$R$400)/SUM($Q$7:$Q$400),"0%"),"N/A")&amp;"     ·     Requisitos calificados: "&amp;(COUNTIFS($B$7:$B$400,"?*",$I$7:$I$400,"?*")-COUNTIF($I$7:$I$400,"No aplica"))&amp;" de "&amp;(COUNTIF($B$7:$B$400,"?*")-COUNTIF($I$7:$I$400,"No aplica"))&amp;"     ·     Críticos (peso 3) por debajo de 50%: "&amp;COUNTIFS($H$7:$H$400,3,$J$7:$J$400,"&lt;"&amp;0.5)&amp;"     ·     Acciones vencidas sin cerrar: "&amp;COUNTIFS($O$7:$O$400,"&lt;"&amp;TODAY(),$P$7:$P$400,"&lt;&gt;Cerrada")&amp;"     ·     Fechas después del 31/05/2027: "&amp;COUNTIF($O$7:$O$400,"&gt;"&amp;DATE(2027,5,31))</f>
        <v/>
      </c>
      <c r="B3" s="130" t="n"/>
      <c r="C3" s="130" t="n"/>
      <c r="D3" s="130" t="n"/>
      <c r="E3" s="130" t="n"/>
      <c r="F3" s="130" t="n"/>
      <c r="G3" s="130" t="n"/>
      <c r="H3" s="130" t="n"/>
      <c r="I3" s="130" t="n"/>
      <c r="J3" s="130" t="n"/>
      <c r="K3" s="130" t="n"/>
      <c r="L3" s="130" t="n"/>
      <c r="M3" s="130" t="n"/>
      <c r="N3" s="130" t="n"/>
      <c r="O3" s="130" t="n"/>
      <c r="P3" s="130" t="n"/>
      <c r="Q3" s="130" t="n"/>
      <c r="R3" s="130" t="n"/>
    </row>
    <row r="4">
      <c r="A4" s="151" t="inlineStr">
        <is>
          <t>Criterio Compliance · criteriocompliance.com   ·   Herramienta orientativa de autodiagnóstico. No reemplaza la asesoría de un profesional ni constituye una certificación de cumplimiento.</t>
        </is>
      </c>
      <c r="Q4" s="130" t="n"/>
      <c r="R4" s="130" t="n"/>
    </row>
    <row r="5" ht="18" customHeight="1">
      <c r="A5" s="170" t="inlineStr">
        <is>
          <t>REQUISITO DE LA CIRCULAR</t>
        </is>
      </c>
      <c r="B5" s="130" t="n"/>
      <c r="C5" s="130" t="n"/>
      <c r="D5" s="130" t="n"/>
      <c r="E5" s="130" t="n"/>
      <c r="F5" s="130" t="n"/>
      <c r="G5" s="130" t="n"/>
      <c r="H5" s="130" t="n"/>
      <c r="I5" s="201" t="inlineStr">
        <is>
          <t>EVALUACIÓN</t>
        </is>
      </c>
      <c r="J5" s="130" t="n"/>
      <c r="K5" s="183" t="inlineStr">
        <is>
          <t>PLAN DE ACCIÓN</t>
        </is>
      </c>
      <c r="L5" s="130" t="n"/>
      <c r="M5" s="130" t="n"/>
      <c r="N5" s="130" t="n"/>
      <c r="O5" s="130" t="n"/>
      <c r="P5" s="130" t="n"/>
      <c r="Q5" s="130" t="n"/>
      <c r="R5" s="130" t="n"/>
    </row>
    <row r="6" ht="30" customHeight="1">
      <c r="A6" s="202" t="inlineStr">
        <is>
          <t>ID</t>
        </is>
      </c>
      <c r="B6" s="202" t="inlineStr">
        <is>
          <t>Componente</t>
        </is>
      </c>
      <c r="C6" s="202" t="inlineStr">
        <is>
          <t>Numeral</t>
        </is>
      </c>
      <c r="D6" s="202" t="inlineStr">
        <is>
          <t>Pág.</t>
        </is>
      </c>
      <c r="E6" s="202" t="inlineStr">
        <is>
          <t>Requisito</t>
        </is>
      </c>
      <c r="F6" s="202" t="inlineStr">
        <is>
          <t>Cómo se cumple / evidencia esperada</t>
        </is>
      </c>
      <c r="G6" s="202" t="inlineStr">
        <is>
          <t>Responsable</t>
        </is>
      </c>
      <c r="H6" s="202" t="inlineStr">
        <is>
          <t>Peso</t>
        </is>
      </c>
      <c r="I6" s="203" t="inlineStr">
        <is>
          <t>Estado de cumplimiento</t>
        </is>
      </c>
      <c r="J6" s="203" t="inlineStr">
        <is>
          <t>% cumpl.</t>
        </is>
      </c>
      <c r="K6" s="204" t="inlineStr">
        <is>
          <t>Evidencia revisada / justificación</t>
        </is>
      </c>
      <c r="L6" s="204" t="inlineStr">
        <is>
          <t>Brecha identificada</t>
        </is>
      </c>
      <c r="M6" s="204" t="inlineStr">
        <is>
          <t>Acción de mejora</t>
        </is>
      </c>
      <c r="N6" s="204" t="inlineStr">
        <is>
          <t>Responsable</t>
        </is>
      </c>
      <c r="O6" s="204" t="inlineStr">
        <is>
          <t>Fecha compromiso</t>
        </is>
      </c>
      <c r="P6" s="204" t="inlineStr">
        <is>
          <t>Estado de la acción</t>
        </is>
      </c>
      <c r="Q6" s="205" t="inlineStr">
        <is>
          <t>Peso aplicable</t>
        </is>
      </c>
      <c r="R6" s="205" t="inlineStr">
        <is>
          <t>Puntaje</t>
        </is>
      </c>
    </row>
    <row r="7" ht="24" customHeight="1">
      <c r="A7" s="206" t="inlineStr">
        <is>
          <t>01  ·  Análisis de riesgo y responsable     (2 requisitos)</t>
        </is>
      </c>
      <c r="B7" s="207" t="n"/>
      <c r="C7" s="207" t="n"/>
      <c r="D7" s="207" t="n"/>
      <c r="E7" s="207" t="n"/>
      <c r="F7" s="207" t="n"/>
      <c r="G7" s="207" t="n"/>
      <c r="H7" s="207" t="n"/>
      <c r="I7" s="208" t="n"/>
      <c r="J7" s="209">
        <f>IFERROR(SUMIFS($R$7:$R$400,$B$7:$B$400,"01. Análisis de riesgo y responsable")/SUMIFS($Q$7:$Q$400,$B$7:$B$400,"01. Análisis de riesgo y responsable"),"N/A")</f>
        <v/>
      </c>
      <c r="K7" s="208" t="n"/>
      <c r="L7" s="208" t="n"/>
      <c r="M7" s="208" t="n"/>
      <c r="N7" s="208" t="n"/>
      <c r="O7" s="208" t="n"/>
      <c r="P7" s="208" t="n"/>
      <c r="Q7" s="130" t="n"/>
      <c r="R7" s="130" t="n"/>
    </row>
    <row r="8" ht="62" customHeight="1">
      <c r="A8" s="210" t="inlineStr">
        <is>
          <t>R-01</t>
        </is>
      </c>
      <c r="B8" s="211" t="inlineStr">
        <is>
          <t>01. Análisis de riesgo y responsable</t>
        </is>
      </c>
      <c r="C8" s="212" t="inlineStr">
        <is>
          <t>9.21</t>
        </is>
      </c>
      <c r="D8" s="213" t="inlineStr">
        <is>
          <t>200</t>
        </is>
      </c>
      <c r="E8" s="214" t="inlineStr">
        <is>
          <t>Analizar los riesgos LA/FT/FP y C/ST considerando materialidad, tipo de negocio, operación, tamaño, áreas geográficas, países y perfil de contrapartes, apoyándose en tipologías (UIAF, GAFI, GAFILAT, OEA, UNODC, OCDE, etc.).</t>
        </is>
      </c>
      <c r="F8" s="215" t="inlineStr">
        <is>
          <t>Documento de análisis de riesgos del negocio con fuentes citadas.</t>
        </is>
      </c>
      <c r="G8" s="216" t="inlineStr">
        <is>
          <t>Representante Legal</t>
        </is>
      </c>
      <c r="H8" s="217" t="n">
        <v>3</v>
      </c>
      <c r="I8" s="218" t="n"/>
      <c r="J8" s="219">
        <f>IF(I8="","",IF(I8="No aplica","N/A",INDEX(Escala!$C$5:$C$9,MATCH(I8,Escala!$B$5:$B$9,0))))</f>
        <v/>
      </c>
      <c r="K8" s="146" t="n"/>
      <c r="L8" s="146" t="n"/>
      <c r="M8" s="146" t="n"/>
      <c r="N8" s="146" t="n"/>
      <c r="O8" s="220" t="n"/>
      <c r="P8" s="218" t="n"/>
      <c r="Q8" s="221">
        <f>IF(I8="No aplica",0,H8)</f>
        <v/>
      </c>
      <c r="R8" s="221">
        <f>IF(ISNUMBER(J8),J8*H8,0)</f>
        <v/>
      </c>
    </row>
    <row r="9" ht="49" customHeight="1">
      <c r="A9" s="210" t="inlineStr">
        <is>
          <t>R-02</t>
        </is>
      </c>
      <c r="B9" s="211" t="inlineStr">
        <is>
          <t>01. Análisis de riesgo y responsable</t>
        </is>
      </c>
      <c r="C9" s="212" t="inlineStr">
        <is>
          <t>9.21</t>
        </is>
      </c>
      <c r="D9" s="213" t="inlineStr">
        <is>
          <t>201</t>
        </is>
      </c>
      <c r="E9" s="214" t="inlineStr">
        <is>
          <t>El Representante Legal es el responsable de ejecutar, verificar y supervisar el RMM, y responde oportunamente los requerimientos de la Supersociedades.</t>
        </is>
      </c>
      <c r="F9" s="215" t="inlineStr">
        <is>
          <t>Asignación formal de la responsabilidad; registro de requerimientos y respuestas.</t>
        </is>
      </c>
      <c r="G9" s="216" t="inlineStr">
        <is>
          <t>Representante Legal</t>
        </is>
      </c>
      <c r="H9" s="217" t="n">
        <v>2</v>
      </c>
      <c r="I9" s="218" t="n"/>
      <c r="J9" s="219">
        <f>IF(I9="","",IF(I9="No aplica","N/A",INDEX(Escala!$C$5:$C$9,MATCH(I9,Escala!$B$5:$B$9,0))))</f>
        <v/>
      </c>
      <c r="K9" s="146" t="n"/>
      <c r="L9" s="146" t="n"/>
      <c r="M9" s="146" t="n"/>
      <c r="N9" s="146" t="n"/>
      <c r="O9" s="220" t="n"/>
      <c r="P9" s="218" t="n"/>
      <c r="Q9" s="221">
        <f>IF(I9="No aplica",0,H9)</f>
        <v/>
      </c>
      <c r="R9" s="221">
        <f>IF(ISNUMBER(J9),J9*H9,0)</f>
        <v/>
      </c>
    </row>
    <row r="10" ht="24" customHeight="1">
      <c r="A10" s="206" t="inlineStr">
        <is>
          <t>02  ·  Diseño y aprobación del RMM     (3 requisitos)</t>
        </is>
      </c>
      <c r="B10" s="207" t="n"/>
      <c r="C10" s="207" t="n"/>
      <c r="D10" s="207" t="n"/>
      <c r="E10" s="207" t="n"/>
      <c r="F10" s="207" t="n"/>
      <c r="G10" s="207" t="n"/>
      <c r="H10" s="207" t="n"/>
      <c r="I10" s="208" t="n"/>
      <c r="J10" s="209">
        <f>IFERROR(SUMIFS($R$7:$R$400,$B$7:$B$400,"02. Diseño y aprobación del RMM")/SUMIFS($Q$7:$Q$400,$B$7:$B$400,"02. Diseño y aprobación del RMM"),"N/A")</f>
        <v/>
      </c>
      <c r="K10" s="208" t="n"/>
      <c r="L10" s="208" t="n"/>
      <c r="M10" s="208" t="n"/>
      <c r="N10" s="208" t="n"/>
      <c r="O10" s="208" t="n"/>
      <c r="P10" s="208" t="n"/>
      <c r="Q10" s="130" t="n"/>
      <c r="R10" s="130" t="n"/>
    </row>
    <row r="11" ht="36" customHeight="1">
      <c r="A11" s="210" t="inlineStr">
        <is>
          <t>R-03</t>
        </is>
      </c>
      <c r="B11" s="211" t="inlineStr">
        <is>
          <t>02. Diseño y aprobación del RMM</t>
        </is>
      </c>
      <c r="C11" s="212" t="inlineStr">
        <is>
          <t>9.21.1</t>
        </is>
      </c>
      <c r="D11" s="213" t="inlineStr">
        <is>
          <t>201</t>
        </is>
      </c>
      <c r="E11" s="214" t="inlineStr">
        <is>
          <t>Diseño e implementación del RMM a cargo del RL, considerando la materialidad y características propias de la empresa.</t>
        </is>
      </c>
      <c r="F11" s="215" t="inlineStr">
        <is>
          <t>Documento del RMM ajustado a la empresa (no copiado).</t>
        </is>
      </c>
      <c r="G11" s="216" t="inlineStr">
        <is>
          <t>Representante Legal</t>
        </is>
      </c>
      <c r="H11" s="217" t="n">
        <v>3</v>
      </c>
      <c r="I11" s="218" t="n"/>
      <c r="J11" s="219">
        <f>IF(I11="","",IF(I11="No aplica","N/A",INDEX(Escala!$C$5:$C$9,MATCH(I11,Escala!$B$5:$B$9,0))))</f>
        <v/>
      </c>
      <c r="K11" s="146" t="n"/>
      <c r="L11" s="146" t="n"/>
      <c r="M11" s="146" t="n"/>
      <c r="N11" s="146" t="n"/>
      <c r="O11" s="220" t="n"/>
      <c r="P11" s="218" t="n"/>
      <c r="Q11" s="221">
        <f>IF(I11="No aplica",0,H11)</f>
        <v/>
      </c>
      <c r="R11" s="221">
        <f>IF(ISNUMBER(J11),J11*H11,0)</f>
        <v/>
      </c>
    </row>
    <row r="12" ht="36" customHeight="1">
      <c r="A12" s="210" t="inlineStr">
        <is>
          <t>R-04</t>
        </is>
      </c>
      <c r="B12" s="211" t="inlineStr">
        <is>
          <t>02. Diseño y aprobación del RMM</t>
        </is>
      </c>
      <c r="C12" s="212" t="inlineStr">
        <is>
          <t>9.21.1</t>
        </is>
      </c>
      <c r="D12" s="213" t="inlineStr">
        <is>
          <t>201</t>
        </is>
      </c>
      <c r="E12" s="214" t="inlineStr">
        <is>
          <t>El RL y la Junta (o máximo órgano) disponen los recursos operativos, económicos, físicos y tecnológicos necesarios.</t>
        </is>
      </c>
      <c r="F12" s="215" t="inlineStr">
        <is>
          <t>Presupuesto o recursos asignados documentados.</t>
        </is>
      </c>
      <c r="G12" s="216" t="inlineStr">
        <is>
          <t>RL / Junta Directiva</t>
        </is>
      </c>
      <c r="H12" s="217" t="n">
        <v>2</v>
      </c>
      <c r="I12" s="218" t="n"/>
      <c r="J12" s="219">
        <f>IF(I12="","",IF(I12="No aplica","N/A",INDEX(Escala!$C$5:$C$9,MATCH(I12,Escala!$B$5:$B$9,0))))</f>
        <v/>
      </c>
      <c r="K12" s="146" t="n"/>
      <c r="L12" s="146" t="n"/>
      <c r="M12" s="146" t="n"/>
      <c r="N12" s="146" t="n"/>
      <c r="O12" s="220" t="n"/>
      <c r="P12" s="218" t="n"/>
      <c r="Q12" s="221">
        <f>IF(I12="No aplica",0,H12)</f>
        <v/>
      </c>
      <c r="R12" s="221">
        <f>IF(ISNUMBER(J12),J12*H12,0)</f>
        <v/>
      </c>
    </row>
    <row r="13" ht="36" customHeight="1">
      <c r="A13" s="210" t="inlineStr">
        <is>
          <t>R-05</t>
        </is>
      </c>
      <c r="B13" s="211" t="inlineStr">
        <is>
          <t>02. Diseño y aprobación del RMM</t>
        </is>
      </c>
      <c r="C13" s="212" t="inlineStr">
        <is>
          <t>9.21.1</t>
        </is>
      </c>
      <c r="D13" s="213" t="inlineStr">
        <is>
          <t>201</t>
        </is>
      </c>
      <c r="E13" s="214" t="inlineStr">
        <is>
          <t>Aprobación del RMM por la Junta Directiva (o máximo órgano), presentado por el RL, constando en acta.</t>
        </is>
      </c>
      <c r="F13" s="215" t="inlineStr">
        <is>
          <t>Acta de aprobación.</t>
        </is>
      </c>
      <c r="G13" s="216" t="inlineStr">
        <is>
          <t>Junta Directiva</t>
        </is>
      </c>
      <c r="H13" s="217" t="n">
        <v>3</v>
      </c>
      <c r="I13" s="218" t="n"/>
      <c r="J13" s="219">
        <f>IF(I13="","",IF(I13="No aplica","N/A",INDEX(Escala!$C$5:$C$9,MATCH(I13,Escala!$B$5:$B$9,0))))</f>
        <v/>
      </c>
      <c r="K13" s="146" t="n"/>
      <c r="L13" s="146" t="n"/>
      <c r="M13" s="146" t="n"/>
      <c r="N13" s="146" t="n"/>
      <c r="O13" s="220" t="n"/>
      <c r="P13" s="218" t="n"/>
      <c r="Q13" s="221">
        <f>IF(I13="No aplica",0,H13)</f>
        <v/>
      </c>
      <c r="R13" s="221">
        <f>IF(ISNUMBER(J13),J13*H13,0)</f>
        <v/>
      </c>
    </row>
    <row r="14" ht="24" customHeight="1">
      <c r="A14" s="206" t="inlineStr">
        <is>
          <t>03  ·  Divulgación y capacitación     (2 requisitos)</t>
        </is>
      </c>
      <c r="B14" s="207" t="n"/>
      <c r="C14" s="207" t="n"/>
      <c r="D14" s="207" t="n"/>
      <c r="E14" s="207" t="n"/>
      <c r="F14" s="207" t="n"/>
      <c r="G14" s="207" t="n"/>
      <c r="H14" s="207" t="n"/>
      <c r="I14" s="208" t="n"/>
      <c r="J14" s="209">
        <f>IFERROR(SUMIFS($R$7:$R$400,$B$7:$B$400,"03. Divulgación y capacitación")/SUMIFS($Q$7:$Q$400,$B$7:$B$400,"03. Divulgación y capacitación"),"N/A")</f>
        <v/>
      </c>
      <c r="K14" s="208" t="n"/>
      <c r="L14" s="208" t="n"/>
      <c r="M14" s="208" t="n"/>
      <c r="N14" s="208" t="n"/>
      <c r="O14" s="208" t="n"/>
      <c r="P14" s="208" t="n"/>
      <c r="Q14" s="130" t="n"/>
      <c r="R14" s="130" t="n"/>
    </row>
    <row r="15" ht="36" customHeight="1">
      <c r="A15" s="210" t="inlineStr">
        <is>
          <t>R-06</t>
        </is>
      </c>
      <c r="B15" s="211" t="inlineStr">
        <is>
          <t>03. Divulgación y capacitación</t>
        </is>
      </c>
      <c r="C15" s="212" t="inlineStr">
        <is>
          <t>9.21.2 a</t>
        </is>
      </c>
      <c r="D15" s="213" t="inlineStr">
        <is>
          <t>201</t>
        </is>
      </c>
      <c r="E15" s="214" t="inlineStr">
        <is>
          <t>Instruir, a través del RL, a empleados y asociados sobre los riesgos LA/FT/FP y C/ST por lo menos una (1) vez al año.</t>
        </is>
      </c>
      <c r="F15" s="215" t="inlineStr">
        <is>
          <t>Listas de asistencia, fecha y contenidos.</t>
        </is>
      </c>
      <c r="G15" s="216" t="inlineStr">
        <is>
          <t>Representante Legal</t>
        </is>
      </c>
      <c r="H15" s="217" t="n">
        <v>3</v>
      </c>
      <c r="I15" s="218" t="n"/>
      <c r="J15" s="219">
        <f>IF(I15="","",IF(I15="No aplica","N/A",INDEX(Escala!$C$5:$C$9,MATCH(I15,Escala!$B$5:$B$9,0))))</f>
        <v/>
      </c>
      <c r="K15" s="146" t="n"/>
      <c r="L15" s="146" t="n"/>
      <c r="M15" s="146" t="n"/>
      <c r="N15" s="146" t="n"/>
      <c r="O15" s="220" t="n"/>
      <c r="P15" s="218" t="n"/>
      <c r="Q15" s="221">
        <f>IF(I15="No aplica",0,H15)</f>
        <v/>
      </c>
      <c r="R15" s="221">
        <f>IF(ISNUMBER(J15),J15*H15,0)</f>
        <v/>
      </c>
    </row>
    <row r="16" ht="36" customHeight="1">
      <c r="A16" s="210" t="inlineStr">
        <is>
          <t>R-07</t>
        </is>
      </c>
      <c r="B16" s="211" t="inlineStr">
        <is>
          <t>03. Divulgación y capacitación</t>
        </is>
      </c>
      <c r="C16" s="212" t="inlineStr">
        <is>
          <t>9.21.2 b</t>
        </is>
      </c>
      <c r="D16" s="213" t="inlineStr">
        <is>
          <t>201</t>
        </is>
      </c>
      <c r="E16" s="214" t="inlineStr">
        <is>
          <t>Comunicar y divulgar las medidas mínimas adoptadas por la sociedad.</t>
        </is>
      </c>
      <c r="F16" s="215" t="inlineStr">
        <is>
          <t>Comunicados, publicación en intranet o carteleras.</t>
        </is>
      </c>
      <c r="G16" s="216" t="inlineStr">
        <is>
          <t>Representante Legal</t>
        </is>
      </c>
      <c r="H16" s="217" t="n">
        <v>2</v>
      </c>
      <c r="I16" s="218" t="n"/>
      <c r="J16" s="219">
        <f>IF(I16="","",IF(I16="No aplica","N/A",INDEX(Escala!$C$5:$C$9,MATCH(I16,Escala!$B$5:$B$9,0))))</f>
        <v/>
      </c>
      <c r="K16" s="146" t="n"/>
      <c r="L16" s="146" t="n"/>
      <c r="M16" s="146" t="n"/>
      <c r="N16" s="146" t="n"/>
      <c r="O16" s="220" t="n"/>
      <c r="P16" s="218" t="n"/>
      <c r="Q16" s="221">
        <f>IF(I16="No aplica",0,H16)</f>
        <v/>
      </c>
      <c r="R16" s="221">
        <f>IF(ISNUMBER(J16),J16*H16,0)</f>
        <v/>
      </c>
    </row>
    <row r="17" ht="24" customHeight="1">
      <c r="A17" s="206" t="inlineStr">
        <is>
          <t>04  ·  Debida diligencia     (7 requisitos)</t>
        </is>
      </c>
      <c r="B17" s="207" t="n"/>
      <c r="C17" s="207" t="n"/>
      <c r="D17" s="207" t="n"/>
      <c r="E17" s="207" t="n"/>
      <c r="F17" s="207" t="n"/>
      <c r="G17" s="207" t="n"/>
      <c r="H17" s="207" t="n"/>
      <c r="I17" s="208" t="n"/>
      <c r="J17" s="209">
        <f>IFERROR(SUMIFS($R$7:$R$400,$B$7:$B$400,"04. Debida diligencia")/SUMIFS($Q$7:$Q$400,$B$7:$B$400,"04. Debida diligencia"),"N/A")</f>
        <v/>
      </c>
      <c r="K17" s="208" t="n"/>
      <c r="L17" s="208" t="n"/>
      <c r="M17" s="208" t="n"/>
      <c r="N17" s="208" t="n"/>
      <c r="O17" s="208" t="n"/>
      <c r="P17" s="208" t="n"/>
      <c r="Q17" s="130" t="n"/>
      <c r="R17" s="130" t="n"/>
    </row>
    <row r="18" ht="36" customHeight="1">
      <c r="A18" s="210" t="inlineStr">
        <is>
          <t>R-08</t>
        </is>
      </c>
      <c r="B18" s="211" t="inlineStr">
        <is>
          <t>04. Debida diligencia</t>
        </is>
      </c>
      <c r="C18" s="212" t="inlineStr">
        <is>
          <t>9.21.3 a</t>
        </is>
      </c>
      <c r="D18" s="213" t="inlineStr">
        <is>
          <t>201</t>
        </is>
      </c>
      <c r="E18" s="214" t="inlineStr">
        <is>
          <t>Identificar a la contraparte y verificar su identidad con documentos o fuentes confiables e independientes.</t>
        </is>
      </c>
      <c r="F18" s="215" t="inlineStr">
        <is>
          <t>Formatos de vinculación con soportes.</t>
        </is>
      </c>
      <c r="G18" s="216" t="inlineStr">
        <is>
          <t>Áreas de vinculación</t>
        </is>
      </c>
      <c r="H18" s="217" t="n">
        <v>3</v>
      </c>
      <c r="I18" s="218" t="n"/>
      <c r="J18" s="219">
        <f>IF(I18="","",IF(I18="No aplica","N/A",INDEX(Escala!$C$5:$C$9,MATCH(I18,Escala!$B$5:$B$9,0))))</f>
        <v/>
      </c>
      <c r="K18" s="146" t="n"/>
      <c r="L18" s="146" t="n"/>
      <c r="M18" s="146" t="n"/>
      <c r="N18" s="146" t="n"/>
      <c r="O18" s="220" t="n"/>
      <c r="P18" s="218" t="n"/>
      <c r="Q18" s="221">
        <f>IF(I18="No aplica",0,H18)</f>
        <v/>
      </c>
      <c r="R18" s="221">
        <f>IF(ISNUMBER(J18),J18*H18,0)</f>
        <v/>
      </c>
    </row>
    <row r="19" ht="62" customHeight="1">
      <c r="A19" s="210" t="inlineStr">
        <is>
          <t>R-09</t>
        </is>
      </c>
      <c r="B19" s="211" t="inlineStr">
        <is>
          <t>04. Debida diligencia</t>
        </is>
      </c>
      <c r="C19" s="212" t="inlineStr">
        <is>
          <t>9.21.3 b-c</t>
        </is>
      </c>
      <c r="D19" s="213" t="inlineStr">
        <is>
          <t>201-202</t>
        </is>
      </c>
      <c r="E19" s="214" t="inlineStr">
        <is>
          <t>Identificar al beneficiario final, verificar su identidad y conocer la estructura de propiedad (nombre y número de identificación de los beneficiarios finales) con medidas razonables.</t>
        </is>
      </c>
      <c r="F19" s="215" t="inlineStr">
        <is>
          <t>Formato de beneficiario final y composición accionaria.</t>
        </is>
      </c>
      <c r="G19" s="216" t="inlineStr">
        <is>
          <t>Áreas de vinculación</t>
        </is>
      </c>
      <c r="H19" s="217" t="n">
        <v>3</v>
      </c>
      <c r="I19" s="218" t="n"/>
      <c r="J19" s="219">
        <f>IF(I19="","",IF(I19="No aplica","N/A",INDEX(Escala!$C$5:$C$9,MATCH(I19,Escala!$B$5:$B$9,0))))</f>
        <v/>
      </c>
      <c r="K19" s="146" t="n"/>
      <c r="L19" s="146" t="n"/>
      <c r="M19" s="146" t="n"/>
      <c r="N19" s="146" t="n"/>
      <c r="O19" s="220" t="n"/>
      <c r="P19" s="218" t="n"/>
      <c r="Q19" s="221">
        <f>IF(I19="No aplica",0,H19)</f>
        <v/>
      </c>
      <c r="R19" s="221">
        <f>IF(ISNUMBER(J19),J19*H19,0)</f>
        <v/>
      </c>
    </row>
    <row r="20" ht="36" customHeight="1">
      <c r="A20" s="210" t="inlineStr">
        <is>
          <t>R-10</t>
        </is>
      </c>
      <c r="B20" s="211" t="inlineStr">
        <is>
          <t>04. Debida diligencia</t>
        </is>
      </c>
      <c r="C20" s="212" t="inlineStr">
        <is>
          <t>9.21.3 d</t>
        </is>
      </c>
      <c r="D20" s="213" t="inlineStr">
        <is>
          <t>202</t>
        </is>
      </c>
      <c r="E20" s="214" t="inlineStr">
        <is>
          <t>Entender y, cuando corresponda, obtener información sobre el propósito y carácter de la relación comercial.</t>
        </is>
      </c>
      <c r="F20" s="215" t="inlineStr">
        <is>
          <t>Campo de propósito de la relación en el formato.</t>
        </is>
      </c>
      <c r="G20" s="216" t="inlineStr">
        <is>
          <t>Áreas de vinculación</t>
        </is>
      </c>
      <c r="H20" s="217" t="n">
        <v>2</v>
      </c>
      <c r="I20" s="218" t="n"/>
      <c r="J20" s="219">
        <f>IF(I20="","",IF(I20="No aplica","N/A",INDEX(Escala!$C$5:$C$9,MATCH(I20,Escala!$B$5:$B$9,0))))</f>
        <v/>
      </c>
      <c r="K20" s="146" t="n"/>
      <c r="L20" s="146" t="n"/>
      <c r="M20" s="146" t="n"/>
      <c r="N20" s="146" t="n"/>
      <c r="O20" s="220" t="n"/>
      <c r="P20" s="218" t="n"/>
      <c r="Q20" s="221">
        <f>IF(I20="No aplica",0,H20)</f>
        <v/>
      </c>
      <c r="R20" s="221">
        <f>IF(ISNUMBER(J20),J20*H20,0)</f>
        <v/>
      </c>
    </row>
    <row r="21" ht="49" customHeight="1">
      <c r="A21" s="210" t="inlineStr">
        <is>
          <t>R-11</t>
        </is>
      </c>
      <c r="B21" s="211" t="inlineStr">
        <is>
          <t>04. Debida diligencia</t>
        </is>
      </c>
      <c r="C21" s="212" t="inlineStr">
        <is>
          <t>9.21.3 e</t>
        </is>
      </c>
      <c r="D21" s="213" t="inlineStr">
        <is>
          <t>202</t>
        </is>
      </c>
      <c r="E21" s="214" t="inlineStr">
        <is>
          <t>Debida Diligencia continua y examen de las transacciones de la relación, incluyendo el origen de fondos cuando sea necesario.</t>
        </is>
      </c>
      <c r="F21" s="215" t="inlineStr">
        <is>
          <t>Revisiones periódicas documentadas.</t>
        </is>
      </c>
      <c r="G21" s="216" t="inlineStr">
        <is>
          <t>Representante Legal</t>
        </is>
      </c>
      <c r="H21" s="217" t="n">
        <v>3</v>
      </c>
      <c r="I21" s="218" t="n"/>
      <c r="J21" s="219">
        <f>IF(I21="","",IF(I21="No aplica","N/A",INDEX(Escala!$C$5:$C$9,MATCH(I21,Escala!$B$5:$B$9,0))))</f>
        <v/>
      </c>
      <c r="K21" s="146" t="n"/>
      <c r="L21" s="146" t="n"/>
      <c r="M21" s="146" t="n"/>
      <c r="N21" s="146" t="n"/>
      <c r="O21" s="220" t="n"/>
      <c r="P21" s="218" t="n"/>
      <c r="Q21" s="221">
        <f>IF(I21="No aplica",0,H21)</f>
        <v/>
      </c>
      <c r="R21" s="221">
        <f>IF(ISNUMBER(J21),J21*H21,0)</f>
        <v/>
      </c>
    </row>
    <row r="22" ht="49" customHeight="1">
      <c r="A22" s="210" t="inlineStr">
        <is>
          <t>R-12</t>
        </is>
      </c>
      <c r="B22" s="211" t="inlineStr">
        <is>
          <t>04. Debida diligencia</t>
        </is>
      </c>
      <c r="C22" s="212" t="inlineStr">
        <is>
          <t>9.21.3 f</t>
        </is>
      </c>
      <c r="D22" s="213" t="inlineStr">
        <is>
          <t>202</t>
        </is>
      </c>
      <c r="E22" s="214" t="inlineStr">
        <is>
          <t>Suministrar elementos de juicio para descartar que remuneraciones muy elevadas a contratistas oculten sobornos a servidores públicos o terceros.</t>
        </is>
      </c>
      <c r="F22" s="215" t="inlineStr">
        <is>
          <t>Análisis de razonabilidad de comisiones y honorarios.</t>
        </is>
      </c>
      <c r="G22" s="216" t="inlineStr">
        <is>
          <t>RL / Área financiera</t>
        </is>
      </c>
      <c r="H22" s="217" t="n">
        <v>2</v>
      </c>
      <c r="I22" s="218" t="n"/>
      <c r="J22" s="219">
        <f>IF(I22="","",IF(I22="No aplica","N/A",INDEX(Escala!$C$5:$C$9,MATCH(I22,Escala!$B$5:$B$9,0))))</f>
        <v/>
      </c>
      <c r="K22" s="146" t="n"/>
      <c r="L22" s="146" t="n"/>
      <c r="M22" s="146" t="n"/>
      <c r="N22" s="146" t="n"/>
      <c r="O22" s="220" t="n"/>
      <c r="P22" s="218" t="n"/>
      <c r="Q22" s="221">
        <f>IF(I22="No aplica",0,H22)</f>
        <v/>
      </c>
      <c r="R22" s="221">
        <f>IF(ISNUMBER(J22),J22*H22,0)</f>
        <v/>
      </c>
    </row>
    <row r="23" ht="36" customHeight="1">
      <c r="A23" s="210" t="inlineStr">
        <is>
          <t>R-13</t>
        </is>
      </c>
      <c r="B23" s="211" t="inlineStr">
        <is>
          <t>04. Debida diligencia</t>
        </is>
      </c>
      <c r="C23" s="212" t="inlineStr">
        <is>
          <t>9.21.3 g</t>
        </is>
      </c>
      <c r="D23" s="213" t="inlineStr">
        <is>
          <t>202</t>
        </is>
      </c>
      <c r="E23" s="214" t="inlineStr">
        <is>
          <t>Las actividades de Debida Diligencia constan por escrito, de fácil acceso y entendimiento para el RL o su delegado.</t>
        </is>
      </c>
      <c r="F23" s="215" t="inlineStr">
        <is>
          <t>Expedientes de contrapartes organizados.</t>
        </is>
      </c>
      <c r="G23" s="216" t="inlineStr">
        <is>
          <t>Representante Legal</t>
        </is>
      </c>
      <c r="H23" s="217" t="n">
        <v>2</v>
      </c>
      <c r="I23" s="218" t="n"/>
      <c r="J23" s="219">
        <f>IF(I23="","",IF(I23="No aplica","N/A",INDEX(Escala!$C$5:$C$9,MATCH(I23,Escala!$B$5:$B$9,0))))</f>
        <v/>
      </c>
      <c r="K23" s="146" t="n"/>
      <c r="L23" s="146" t="n"/>
      <c r="M23" s="146" t="n"/>
      <c r="N23" s="146" t="n"/>
      <c r="O23" s="220" t="n"/>
      <c r="P23" s="218" t="n"/>
      <c r="Q23" s="221">
        <f>IF(I23="No aplica",0,H23)</f>
        <v/>
      </c>
      <c r="R23" s="221">
        <f>IF(ISNUMBER(J23),J23*H23,0)</f>
        <v/>
      </c>
    </row>
    <row r="24" ht="62" customHeight="1">
      <c r="A24" s="210" t="inlineStr">
        <is>
          <t>R-14</t>
        </is>
      </c>
      <c r="B24" s="211" t="inlineStr">
        <is>
          <t>04. Debida diligencia</t>
        </is>
      </c>
      <c r="C24" s="212" t="inlineStr">
        <is>
          <t>9.21.3 h</t>
        </is>
      </c>
      <c r="D24" s="213" t="inlineStr">
        <is>
          <t>202</t>
        </is>
      </c>
      <c r="E24" s="214" t="inlineStr">
        <is>
          <t>Si no es posible identificar a la contraparte o su beneficiario final, documentar las razones jurídicas y completar la DD tras la vinculación (la Circular menciona al OC; en RMM lo asume el RL o su delegado).</t>
        </is>
      </c>
      <c r="F24" s="215" t="inlineStr">
        <is>
          <t>Registro de casos excepcionales con su cierre.</t>
        </is>
      </c>
      <c r="G24" s="216" t="inlineStr">
        <is>
          <t>RL / delegado</t>
        </is>
      </c>
      <c r="H24" s="217" t="n">
        <v>2</v>
      </c>
      <c r="I24" s="218" t="n"/>
      <c r="J24" s="219">
        <f>IF(I24="","",IF(I24="No aplica","N/A",INDEX(Escala!$C$5:$C$9,MATCH(I24,Escala!$B$5:$B$9,0))))</f>
        <v/>
      </c>
      <c r="K24" s="146" t="n"/>
      <c r="L24" s="146" t="n"/>
      <c r="M24" s="146" t="n"/>
      <c r="N24" s="146" t="n"/>
      <c r="O24" s="220" t="n"/>
      <c r="P24" s="218" t="n"/>
      <c r="Q24" s="221">
        <f>IF(I24="No aplica",0,H24)</f>
        <v/>
      </c>
      <c r="R24" s="221">
        <f>IF(ISNUMBER(J24),J24*H24,0)</f>
        <v/>
      </c>
    </row>
    <row r="25" ht="24" customHeight="1">
      <c r="A25" s="206" t="inlineStr">
        <is>
          <t>05  ·  Reportes y canales     (4 requisitos)</t>
        </is>
      </c>
      <c r="B25" s="207" t="n"/>
      <c r="C25" s="207" t="n"/>
      <c r="D25" s="207" t="n"/>
      <c r="E25" s="207" t="n"/>
      <c r="F25" s="207" t="n"/>
      <c r="G25" s="207" t="n"/>
      <c r="H25" s="207" t="n"/>
      <c r="I25" s="208" t="n"/>
      <c r="J25" s="209">
        <f>IFERROR(SUMIFS($R$7:$R$400,$B$7:$B$400,"05. Reportes y canales")/SUMIFS($Q$7:$Q$400,$B$7:$B$400,"05. Reportes y canales"),"N/A")</f>
        <v/>
      </c>
      <c r="K25" s="208" t="n"/>
      <c r="L25" s="208" t="n"/>
      <c r="M25" s="208" t="n"/>
      <c r="N25" s="208" t="n"/>
      <c r="O25" s="208" t="n"/>
      <c r="P25" s="208" t="n"/>
      <c r="Q25" s="130" t="n"/>
      <c r="R25" s="130" t="n"/>
    </row>
    <row r="26" ht="49" customHeight="1">
      <c r="A26" s="210" t="inlineStr">
        <is>
          <t>R-15</t>
        </is>
      </c>
      <c r="B26" s="211" t="inlineStr">
        <is>
          <t>05. Reportes y canales</t>
        </is>
      </c>
      <c r="C26" s="212" t="inlineStr">
        <is>
          <t>9.21.4</t>
        </is>
      </c>
      <c r="D26" s="213" t="inlineStr">
        <is>
          <t>202</t>
        </is>
      </c>
      <c r="E26" s="214" t="inlineStr">
        <is>
          <t>Consultar permanentemente las Listas Vinculantes y, ante coincidencia, reportar a la UIAF y poner en conocimiento de la Fiscalía.</t>
        </is>
      </c>
      <c r="F26" s="215" t="inlineStr">
        <is>
          <t>Evidencia de consultas con fecha; procedimiento de reporte.</t>
        </is>
      </c>
      <c r="G26" s="216" t="inlineStr">
        <is>
          <t>Representante Legal</t>
        </is>
      </c>
      <c r="H26" s="217" t="n">
        <v>3</v>
      </c>
      <c r="I26" s="218" t="n"/>
      <c r="J26" s="219">
        <f>IF(I26="","",IF(I26="No aplica","N/A",INDEX(Escala!$C$5:$C$9,MATCH(I26,Escala!$B$5:$B$9,0))))</f>
        <v/>
      </c>
      <c r="K26" s="146" t="n"/>
      <c r="L26" s="146" t="n"/>
      <c r="M26" s="146" t="n"/>
      <c r="N26" s="146" t="n"/>
      <c r="O26" s="220" t="n"/>
      <c r="P26" s="218" t="n"/>
      <c r="Q26" s="221">
        <f>IF(I26="No aplica",0,H26)</f>
        <v/>
      </c>
      <c r="R26" s="221">
        <f>IF(ISNUMBER(J26),J26*H26,0)</f>
        <v/>
      </c>
    </row>
    <row r="27" ht="49" customHeight="1">
      <c r="A27" s="210" t="inlineStr">
        <is>
          <t>R-16</t>
        </is>
      </c>
      <c r="B27" s="211" t="inlineStr">
        <is>
          <t>05. Reportes y canales</t>
        </is>
      </c>
      <c r="C27" s="212" t="inlineStr">
        <is>
          <t>9.21.4</t>
        </is>
      </c>
      <c r="D27" s="213" t="inlineStr">
        <is>
          <t>202</t>
        </is>
      </c>
      <c r="E27" s="214" t="inlineStr">
        <is>
          <t>Definir, adoptar y monitorear acciones y herramientas para detectar operaciones inusuales y sospechosas y reportarlas efectivamente a la UIAF.</t>
        </is>
      </c>
      <c r="F27" s="215" t="inlineStr">
        <is>
          <t>Procedimiento y registro de alertas analizadas.</t>
        </is>
      </c>
      <c r="G27" s="216" t="inlineStr">
        <is>
          <t>Representante Legal</t>
        </is>
      </c>
      <c r="H27" s="217" t="n">
        <v>3</v>
      </c>
      <c r="I27" s="218" t="n"/>
      <c r="J27" s="219">
        <f>IF(I27="","",IF(I27="No aplica","N/A",INDEX(Escala!$C$5:$C$9,MATCH(I27,Escala!$B$5:$B$9,0))))</f>
        <v/>
      </c>
      <c r="K27" s="146" t="n"/>
      <c r="L27" s="146" t="n"/>
      <c r="M27" s="146" t="n"/>
      <c r="N27" s="146" t="n"/>
      <c r="O27" s="220" t="n"/>
      <c r="P27" s="218" t="n"/>
      <c r="Q27" s="221">
        <f>IF(I27="No aplica",0,H27)</f>
        <v/>
      </c>
      <c r="R27" s="221">
        <f>IF(ISNUMBER(J27),J27*H27,0)</f>
        <v/>
      </c>
    </row>
    <row r="28" ht="49" customHeight="1">
      <c r="A28" s="210" t="inlineStr">
        <is>
          <t>R-17</t>
        </is>
      </c>
      <c r="B28" s="211" t="inlineStr">
        <is>
          <t>05. Reportes y canales</t>
        </is>
      </c>
      <c r="C28" s="212" t="inlineStr">
        <is>
          <t>9.21.4</t>
        </is>
      </c>
      <c r="D28" s="213" t="inlineStr">
        <is>
          <t>202</t>
        </is>
      </c>
      <c r="E28" s="214" t="inlineStr">
        <is>
          <t>El RL se registra en SIREL como único responsable de ROS y del AROS trimestral cuando no haya ROS (dentro de los 10 días calendario siguientes al trimestre, num. 9.19).</t>
        </is>
      </c>
      <c r="F28" s="215" t="inlineStr">
        <is>
          <t>Usuario SIREL activo y constancias trimestrales.</t>
        </is>
      </c>
      <c r="G28" s="216" t="inlineStr">
        <is>
          <t>Representante Legal</t>
        </is>
      </c>
      <c r="H28" s="217" t="n">
        <v>3</v>
      </c>
      <c r="I28" s="218" t="n"/>
      <c r="J28" s="219">
        <f>IF(I28="","",IF(I28="No aplica","N/A",INDEX(Escala!$C$5:$C$9,MATCH(I28,Escala!$B$5:$B$9,0))))</f>
        <v/>
      </c>
      <c r="K28" s="146" t="n"/>
      <c r="L28" s="146" t="n"/>
      <c r="M28" s="146" t="n"/>
      <c r="N28" s="146" t="n"/>
      <c r="O28" s="220" t="n"/>
      <c r="P28" s="218" t="n"/>
      <c r="Q28" s="221">
        <f>IF(I28="No aplica",0,H28)</f>
        <v/>
      </c>
      <c r="R28" s="221">
        <f>IF(ISNUMBER(J28),J28*H28,0)</f>
        <v/>
      </c>
    </row>
    <row r="29" ht="49" customHeight="1">
      <c r="A29" s="210" t="inlineStr">
        <is>
          <t>R-18</t>
        </is>
      </c>
      <c r="B29" s="211" t="inlineStr">
        <is>
          <t>05. Reportes y canales</t>
        </is>
      </c>
      <c r="C29" s="212" t="inlineStr">
        <is>
          <t>9.21.4</t>
        </is>
      </c>
      <c r="D29" s="213" t="inlineStr">
        <is>
          <t>202</t>
        </is>
      </c>
      <c r="E29" s="214" t="inlineStr">
        <is>
          <t>Incluir la promoción del canal de denuncias por soborno transnacional de la Supersociedades y del canal de la Secretaría de Transparencia.</t>
        </is>
      </c>
      <c r="F29" s="215" t="inlineStr">
        <is>
          <t>Publicación de los enlaces en web, intranet o capacitaciones.</t>
        </is>
      </c>
      <c r="G29" s="216" t="inlineStr">
        <is>
          <t>Representante Legal</t>
        </is>
      </c>
      <c r="H29" s="217" t="n">
        <v>2</v>
      </c>
      <c r="I29" s="218" t="n"/>
      <c r="J29" s="219">
        <f>IF(I29="","",IF(I29="No aplica","N/A",INDEX(Escala!$C$5:$C$9,MATCH(I29,Escala!$B$5:$B$9,0))))</f>
        <v/>
      </c>
      <c r="K29" s="146" t="n"/>
      <c r="L29" s="146" t="n"/>
      <c r="M29" s="146" t="n"/>
      <c r="N29" s="146" t="n"/>
      <c r="O29" s="220" t="n"/>
      <c r="P29" s="218" t="n"/>
      <c r="Q29" s="221">
        <f>IF(I29="No aplica",0,H29)</f>
        <v/>
      </c>
      <c r="R29" s="221">
        <f>IF(ISNUMBER(J29),J29*H29,0)</f>
        <v/>
      </c>
    </row>
    <row r="30" ht="24" customHeight="1">
      <c r="A30" s="206" t="inlineStr">
        <is>
          <t>06  ·  Conservación de la información     (2 requisitos)</t>
        </is>
      </c>
      <c r="B30" s="207" t="n"/>
      <c r="C30" s="207" t="n"/>
      <c r="D30" s="207" t="n"/>
      <c r="E30" s="207" t="n"/>
      <c r="F30" s="207" t="n"/>
      <c r="G30" s="207" t="n"/>
      <c r="H30" s="207" t="n"/>
      <c r="I30" s="208" t="n"/>
      <c r="J30" s="209">
        <f>IFERROR(SUMIFS($R$7:$R$400,$B$7:$B$400,"06. Conservación de la información")/SUMIFS($Q$7:$Q$400,$B$7:$B$400,"06. Conservación de la información"),"N/A")</f>
        <v/>
      </c>
      <c r="K30" s="208" t="n"/>
      <c r="L30" s="208" t="n"/>
      <c r="M30" s="208" t="n"/>
      <c r="N30" s="208" t="n"/>
      <c r="O30" s="208" t="n"/>
      <c r="P30" s="208" t="n"/>
      <c r="Q30" s="130" t="n"/>
      <c r="R30" s="130" t="n"/>
    </row>
    <row r="31" ht="49" customHeight="1">
      <c r="A31" s="210" t="inlineStr">
        <is>
          <t>R-19</t>
        </is>
      </c>
      <c r="B31" s="211" t="inlineStr">
        <is>
          <t>06. Conservación de la información</t>
        </is>
      </c>
      <c r="C31" s="212" t="inlineStr">
        <is>
          <t>9.22</t>
        </is>
      </c>
      <c r="D31" s="213" t="inlineStr">
        <is>
          <t>203</t>
        </is>
      </c>
      <c r="E31" s="214" t="inlineStr">
        <is>
          <t>Documentos y registros que garanticen integridad, oportunidad, confiabilidad, reserva y disponibilidad; DD documentada con nombre de quien verificó, fecha y hora.</t>
        </is>
      </c>
      <c r="F31" s="215" t="inlineStr">
        <is>
          <t>Gestión documental con trazabilidad.</t>
        </is>
      </c>
      <c r="G31" s="216" t="inlineStr">
        <is>
          <t>Representante Legal</t>
        </is>
      </c>
      <c r="H31" s="217" t="n">
        <v>2</v>
      </c>
      <c r="I31" s="218" t="n"/>
      <c r="J31" s="219">
        <f>IF(I31="","",IF(I31="No aplica","N/A",INDEX(Escala!$C$5:$C$9,MATCH(I31,Escala!$B$5:$B$9,0))))</f>
        <v/>
      </c>
      <c r="K31" s="146" t="n"/>
      <c r="L31" s="146" t="n"/>
      <c r="M31" s="146" t="n"/>
      <c r="N31" s="146" t="n"/>
      <c r="O31" s="220" t="n"/>
      <c r="P31" s="218" t="n"/>
      <c r="Q31" s="221">
        <f>IF(I31="No aplica",0,H31)</f>
        <v/>
      </c>
      <c r="R31" s="221">
        <f>IF(ISNUMBER(J31),J31*H31,0)</f>
        <v/>
      </c>
    </row>
    <row r="32" ht="49" customHeight="1">
      <c r="A32" s="210" t="inlineStr">
        <is>
          <t>R-20</t>
        </is>
      </c>
      <c r="B32" s="211" t="inlineStr">
        <is>
          <t>06. Conservación de la información</t>
        </is>
      </c>
      <c r="C32" s="212" t="inlineStr">
        <is>
          <t>9.22</t>
        </is>
      </c>
      <c r="D32" s="213" t="inlineStr">
        <is>
          <t>203</t>
        </is>
      </c>
      <c r="E32" s="214" t="inlineStr">
        <is>
          <t>Respetar la protección de datos personales (Leyes 1266/2008 y 1581/2012) y conservar soportes según el art. 28 de la Ley 962 de 2005.</t>
        </is>
      </c>
      <c r="F32" s="215" t="inlineStr">
        <is>
          <t>Autorizaciones de tratamiento; tabla de retención documental.</t>
        </is>
      </c>
      <c r="G32" s="216" t="inlineStr">
        <is>
          <t>Representante Legal</t>
        </is>
      </c>
      <c r="H32" s="217" t="n">
        <v>2</v>
      </c>
      <c r="I32" s="218" t="n"/>
      <c r="J32" s="219">
        <f>IF(I32="","",IF(I32="No aplica","N/A",INDEX(Escala!$C$5:$C$9,MATCH(I32,Escala!$B$5:$B$9,0))))</f>
        <v/>
      </c>
      <c r="K32" s="146" t="n"/>
      <c r="L32" s="146" t="n"/>
      <c r="M32" s="146" t="n"/>
      <c r="N32" s="146" t="n"/>
      <c r="O32" s="220" t="n"/>
      <c r="P32" s="218" t="n"/>
      <c r="Q32" s="221">
        <f>IF(I32="No aplica",0,H32)</f>
        <v/>
      </c>
      <c r="R32" s="221">
        <f>IF(ISNUMBER(J32),J32*H32,0)</f>
        <v/>
      </c>
    </row>
    <row r="33" ht="24" customHeight="1">
      <c r="A33" s="206" t="inlineStr">
        <is>
          <t>07  ·  Transición y permanencia     (2 requisitos)</t>
        </is>
      </c>
      <c r="B33" s="207" t="n"/>
      <c r="C33" s="207" t="n"/>
      <c r="D33" s="207" t="n"/>
      <c r="E33" s="207" t="n"/>
      <c r="F33" s="207" t="n"/>
      <c r="G33" s="207" t="n"/>
      <c r="H33" s="207" t="n"/>
      <c r="I33" s="208" t="n"/>
      <c r="J33" s="209">
        <f>IFERROR(SUMIFS($R$7:$R$400,$B$7:$B$400,"07. Transición y permanencia")/SUMIFS($Q$7:$Q$400,$B$7:$B$400,"07. Transición y permanencia"),"N/A")</f>
        <v/>
      </c>
      <c r="K33" s="208" t="n"/>
      <c r="L33" s="208" t="n"/>
      <c r="M33" s="208" t="n"/>
      <c r="N33" s="208" t="n"/>
      <c r="O33" s="208" t="n"/>
      <c r="P33" s="208" t="n"/>
      <c r="Q33" s="130" t="n"/>
      <c r="R33" s="130" t="n"/>
    </row>
    <row r="34" ht="36" customHeight="1">
      <c r="A34" s="210" t="inlineStr">
        <is>
          <t>R-21</t>
        </is>
      </c>
      <c r="B34" s="211" t="inlineStr">
        <is>
          <t>07. Transición y permanencia</t>
        </is>
      </c>
      <c r="C34" s="212" t="inlineStr">
        <is>
          <t>9.29</t>
        </is>
      </c>
      <c r="D34" s="213" t="inlineStr">
        <is>
          <t>206-207</t>
        </is>
      </c>
      <c r="E34" s="214" t="inlineStr">
        <is>
          <t>Si ya estaba obligado por circulares anteriores: ajustar el RMM al Capítulo IX a más tardar el 31 de mayo de 2027.</t>
        </is>
      </c>
      <c r="F34" s="215" t="inlineStr">
        <is>
          <t>Acta de aprobación del RMM ajustado antes del 31/05/2027.</t>
        </is>
      </c>
      <c r="G34" s="216" t="inlineStr">
        <is>
          <t>RL / Junta Directiva</t>
        </is>
      </c>
      <c r="H34" s="217" t="n">
        <v>3</v>
      </c>
      <c r="I34" s="218" t="n"/>
      <c r="J34" s="219">
        <f>IF(I34="","",IF(I34="No aplica","N/A",INDEX(Escala!$C$5:$C$9,MATCH(I34,Escala!$B$5:$B$9,0))))</f>
        <v/>
      </c>
      <c r="K34" s="146" t="n"/>
      <c r="L34" s="146" t="n"/>
      <c r="M34" s="146" t="n"/>
      <c r="N34" s="146" t="n"/>
      <c r="O34" s="220" t="n"/>
      <c r="P34" s="218" t="n"/>
      <c r="Q34" s="221">
        <f>IF(I34="No aplica",0,H34)</f>
        <v/>
      </c>
      <c r="R34" s="221">
        <f>IF(ISNUMBER(J34),J34*H34,0)</f>
        <v/>
      </c>
    </row>
    <row r="35" ht="36" customHeight="1">
      <c r="A35" s="210" t="inlineStr">
        <is>
          <t>R-22</t>
        </is>
      </c>
      <c r="B35" s="211" t="inlineStr">
        <is>
          <t>07. Transición y permanencia</t>
        </is>
      </c>
      <c r="C35" s="212" t="inlineStr">
        <is>
          <t>9.30</t>
        </is>
      </c>
      <c r="D35" s="213" t="inlineStr">
        <is>
          <t>207</t>
        </is>
      </c>
      <c r="E35" s="214" t="inlineStr">
        <is>
          <t>Si deja de cumplir los umbrales, mantener el RMM por un (1) año adicional.</t>
        </is>
      </c>
      <c r="F35" s="215" t="inlineStr">
        <is>
          <t>Seguimiento anual de umbrales.</t>
        </is>
      </c>
      <c r="G35" s="216" t="inlineStr">
        <is>
          <t>Representante Legal</t>
        </is>
      </c>
      <c r="H35" s="217" t="n">
        <v>1</v>
      </c>
      <c r="I35" s="218" t="n"/>
      <c r="J35" s="219">
        <f>IF(I35="","",IF(I35="No aplica","N/A",INDEX(Escala!$C$5:$C$9,MATCH(I35,Escala!$B$5:$B$9,0))))</f>
        <v/>
      </c>
      <c r="K35" s="146" t="n"/>
      <c r="L35" s="146" t="n"/>
      <c r="M35" s="146" t="n"/>
      <c r="N35" s="146" t="n"/>
      <c r="O35" s="220" t="n"/>
      <c r="P35" s="218" t="n"/>
      <c r="Q35" s="221">
        <f>IF(I35="No aplica",0,H35)</f>
        <v/>
      </c>
      <c r="R35" s="221">
        <f>IF(ISNUMBER(J35),J35*H35,0)</f>
        <v/>
      </c>
    </row>
  </sheetData>
  <autoFilter ref="A6:P35"/>
  <mergeCells count="12">
    <mergeCell ref="A30:H30"/>
    <mergeCell ref="K5:P5"/>
    <mergeCell ref="A25:H25"/>
    <mergeCell ref="A7:H7"/>
    <mergeCell ref="A10:H10"/>
    <mergeCell ref="I5:J5"/>
    <mergeCell ref="A14:H14"/>
    <mergeCell ref="A33:H33"/>
    <mergeCell ref="A3:P3"/>
    <mergeCell ref="A5:H5"/>
    <mergeCell ref="A4:P4"/>
    <mergeCell ref="A17:H17"/>
  </mergeCells>
  <conditionalFormatting sqref="O8:O9 O11:O13 O15:O16 O18:O24 O26:O29 O31:O32 O34:O35">
    <cfRule type="expression" priority="1" dxfId="8" stopIfTrue="1">
      <formula>AND(ISNUMBER(O8),O8&lt;TODAY(),P8&lt;&gt;"Cerrada")</formula>
    </cfRule>
    <cfRule type="expression" priority="2" dxfId="9" stopIfTrue="1">
      <formula>AND(ISNUMBER(O8),O8&gt;DATE(2027,5,31))</formula>
    </cfRule>
  </conditionalFormatting>
  <conditionalFormatting sqref="P8:P9 P11:P13 P15:P16 P18:P24 P26:P29 P31:P32 P34:P35">
    <cfRule type="expression" priority="3" dxfId="10">
      <formula>P8="Cerrada"</formula>
    </cfRule>
    <cfRule type="expression" priority="4" dxfId="11">
      <formula>P8="En curso"</formula>
    </cfRule>
    <cfRule type="expression" priority="5" dxfId="12">
      <formula>P8="Pendiente"</formula>
    </cfRule>
  </conditionalFormatting>
  <conditionalFormatting sqref="I8:I9 I11:I13 I15:I16 I18:I24 I26:I29 I31:I32 I34:I35">
    <cfRule type="expression" priority="6" dxfId="10">
      <formula>I8="Cumple totalmente"</formula>
    </cfRule>
    <cfRule type="expression" priority="7" dxfId="13">
      <formula>I8="Cumple en gran medida"</formula>
    </cfRule>
    <cfRule type="expression" priority="8" dxfId="11">
      <formula>I8="Cumple parcialmente"</formula>
    </cfRule>
    <cfRule type="expression" priority="9" dxfId="9">
      <formula>I8="Cumplimiento incipiente"</formula>
    </cfRule>
    <cfRule type="expression" priority="10" dxfId="8">
      <formula>I8="No cumple"</formula>
    </cfRule>
    <cfRule type="expression" priority="11" dxfId="14">
      <formula>I8="No aplica"</formula>
    </cfRule>
  </conditionalFormatting>
  <conditionalFormatting sqref="J8:J9 J11:J13 J15:J16 J18:J24 J26:J29 J31:J32 J34:J35">
    <cfRule type="expression" priority="12" dxfId="4" stopIfTrue="1">
      <formula>AND(ISNUMBER(J8),J8&gt;=Escala!$C$14)</formula>
    </cfRule>
    <cfRule type="expression" priority="13" dxfId="5" stopIfTrue="1">
      <formula>AND(ISNUMBER(J8),J8&gt;=Escala!$C$15)</formula>
    </cfRule>
    <cfRule type="expression" priority="14" dxfId="6" stopIfTrue="1">
      <formula>AND(ISNUMBER(J8),J8&gt;=Escala!$C$16)</formula>
    </cfRule>
    <cfRule type="expression" priority="15" dxfId="7" stopIfTrue="1">
      <formula>ISNUMBER(J8)</formula>
    </cfRule>
    <cfRule type="dataBar" priority="16">
      <dataBar showValue="1">
        <cfvo type="num" val="0"/>
        <cfvo type="num" val="1"/>
        <color rgb="FFE3B8B2"/>
      </dataBar>
    </cfRule>
  </conditionalFormatting>
  <conditionalFormatting sqref="A7:H35 K7:P35">
    <cfRule type="expression" priority="17" dxfId="15">
      <formula>$I7="No aplica"</formula>
    </cfRule>
  </conditionalFormatting>
  <dataValidations count="3">
    <dataValidation sqref="I8:I9 I11:I13 I15:I16 I18:I24 I26:I29 I31:I32 I34:I35" showDropDown="0" showInputMessage="0" showErrorMessage="1" allowBlank="1" errorTitle="Estado no válido" error="Seleccione un estado de la lista." type="list">
      <formula1>=Escala!$B$5:$B$10</formula1>
    </dataValidation>
    <dataValidation sqref="H8:H9 H11:H13 H15:H16 H18:H24 H26:H29 H31:H32 H34:H35" showDropDown="0" showInputMessage="0" showErrorMessage="1" allowBlank="0" errorTitle="Peso no válido" error="El peso debe ser 0, 1, 2 o 3 (0 = recomendación, no suma al %)." type="whole" operator="between">
      <formula1>0</formula1>
      <formula2>3</formula2>
    </dataValidation>
    <dataValidation sqref="P8:P9 P11:P13 P15:P16 P18:P24 P26:P29 P31:P32 P34:P35" showDropDown="0" showInputMessage="0" showErrorMessage="1" allowBlank="1" errorTitle="Estado no válido" error="Seleccione Pendiente, En curso o Cerrada." type="list">
      <formula1>=Escala!$I$5:$I$7</formula1>
    </dataValidation>
  </dataValidations>
  <pageMargins left="0.75" right="0.75" top="1" bottom="1" header="0.5" footer="0.5"/>
  <pageSetup orientation="landscape" fitToHeight="0" fitToWidth="1"/>
  <headerFooter>
    <oddHeader>&amp;L&amp;"Georgia,Bold"&amp;KA12B22Criterio Compliance&amp;R&amp;K57534A&amp;A</oddHeader>
    <oddFooter>&amp;L&amp;8 &amp;K57534Acriteriocompliance.com · Herramienta orientativa: no reemplaza la asesoría profesional&amp;R&amp;8 Pág. &amp;P de &amp;N</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857F72"/>
    <outlinePr summaryBelow="1" summaryRight="1"/>
    <pageSetUpPr fitToPage="1"/>
  </sheetPr>
  <dimension ref="A1:I26"/>
  <sheetViews>
    <sheetView showGridLines="0" workbookViewId="0">
      <selection activeCell="A1" sqref="A1"/>
    </sheetView>
  </sheetViews>
  <sheetFormatPr baseColWidth="8" defaultRowHeight="15"/>
  <cols>
    <col width="2" customWidth="1" min="1" max="1"/>
    <col width="26" customWidth="1" min="2" max="2"/>
    <col width="10" customWidth="1" min="3" max="3"/>
    <col width="78" customWidth="1" min="4" max="4"/>
    <col width="3" customWidth="1" min="5" max="5"/>
    <col width="16" customWidth="1" min="6" max="6"/>
    <col width="5" customWidth="1" min="7" max="7"/>
    <col width="16" customWidth="1" min="8" max="8"/>
    <col width="12" customWidth="1" min="9" max="9"/>
  </cols>
  <sheetData>
    <row r="1">
      <c r="A1" s="130" t="n"/>
      <c r="B1" s="199" t="inlineStr">
        <is>
          <t>Escala de calificación, semáforo y pesos</t>
        </is>
      </c>
      <c r="C1" s="130" t="n"/>
      <c r="D1" s="130" t="n"/>
      <c r="E1" s="130" t="n"/>
      <c r="F1" s="130" t="n"/>
      <c r="G1" s="130" t="n"/>
      <c r="H1" s="130" t="n"/>
      <c r="I1" s="130" t="n"/>
    </row>
    <row r="2">
      <c r="A2" s="130" t="n"/>
      <c r="B2" s="134" t="inlineStr">
        <is>
          <t>Celdas amarillas editables. Los estados alimentan las listas desplegables de las matrices.</t>
        </is>
      </c>
      <c r="C2" s="130" t="n"/>
      <c r="D2" s="130" t="n"/>
      <c r="E2" s="130" t="n"/>
      <c r="F2" s="130" t="n"/>
      <c r="G2" s="130" t="n"/>
      <c r="H2" s="130" t="n"/>
      <c r="I2" s="130" t="n"/>
    </row>
    <row r="3">
      <c r="A3" s="130" t="n"/>
      <c r="B3" s="151" t="inlineStr">
        <is>
          <t>Criterio Compliance · criteriocompliance.com   ·   Herramienta orientativa de autodiagnóstico. No reemplaza la asesoría de un profesional ni constituye una certificación de cumplimiento.</t>
        </is>
      </c>
    </row>
    <row r="4" ht="24" customHeight="1">
      <c r="A4" s="130" t="n"/>
      <c r="B4" s="222" t="inlineStr">
        <is>
          <t>Estado de cumplimiento</t>
        </is>
      </c>
      <c r="C4" s="223" t="inlineStr">
        <is>
          <t>Valor</t>
        </is>
      </c>
      <c r="D4" s="222" t="inlineStr">
        <is>
          <t>Criterio para asignarlo</t>
        </is>
      </c>
      <c r="E4" s="130" t="n"/>
      <c r="F4" s="224" t="inlineStr">
        <is>
          <t>Listas internas (no editar)</t>
        </is>
      </c>
      <c r="G4" s="130" t="n"/>
      <c r="H4" s="130" t="n"/>
      <c r="I4" s="130" t="n"/>
    </row>
    <row r="5" ht="32" customHeight="1">
      <c r="A5" s="130" t="n"/>
      <c r="B5" s="225" t="inlineStr">
        <is>
          <t>Cumple totalmente</t>
        </is>
      </c>
      <c r="C5" s="219" t="n">
        <v>1</v>
      </c>
      <c r="D5" s="139" t="inlineStr">
        <is>
          <t>Documentado, aprobado por el órgano competente, implementado y con evidencia de operación en el periodo evaluado.</t>
        </is>
      </c>
      <c r="E5" s="130" t="n"/>
      <c r="F5" s="221" t="inlineStr">
        <is>
          <t>Sistema de Autocontrol y Gestión LA/FT/FP y C/ST</t>
        </is>
      </c>
      <c r="G5" s="221" t="inlineStr">
        <is>
          <t>Sí</t>
        </is>
      </c>
      <c r="H5" s="221" t="inlineStr">
        <is>
          <t>Sociedad, empresa unipersonal o sucursal</t>
        </is>
      </c>
      <c r="I5" s="221" t="inlineStr">
        <is>
          <t>Pendiente</t>
        </is>
      </c>
    </row>
    <row r="6" ht="32" customHeight="1">
      <c r="A6" s="130" t="n"/>
      <c r="B6" s="226" t="inlineStr">
        <is>
          <t>Cumple en gran medida</t>
        </is>
      </c>
      <c r="C6" s="219" t="n">
        <v>0.75</v>
      </c>
      <c r="D6" s="139" t="inlineStr">
        <is>
          <t>Documentado e implementado; falta una evidencia menor, una actualización o una formalidad (p. ej., acta pendiente de firma).</t>
        </is>
      </c>
      <c r="E6" s="130" t="n"/>
      <c r="F6" s="221" t="inlineStr">
        <is>
          <t>Régimen de Medidas Mínimas (RMM)</t>
        </is>
      </c>
      <c r="G6" s="221" t="inlineStr">
        <is>
          <t>No</t>
        </is>
      </c>
      <c r="H6" s="221" t="inlineStr">
        <is>
          <t>Cámara de comercio</t>
        </is>
      </c>
      <c r="I6" s="221" t="inlineStr">
        <is>
          <t>En curso</t>
        </is>
      </c>
    </row>
    <row r="7" ht="32" customHeight="1">
      <c r="A7" s="130" t="n"/>
      <c r="B7" s="227" t="inlineStr">
        <is>
          <t>Cumple parcialmente</t>
        </is>
      </c>
      <c r="C7" s="219" t="n">
        <v>0.5</v>
      </c>
      <c r="D7" s="139" t="inlineStr">
        <is>
          <t>Documentado, pero con implementación parcial o sin evidencia suficiente de que opere.</t>
        </is>
      </c>
      <c r="E7" s="130" t="n"/>
      <c r="F7" s="221" t="n"/>
      <c r="G7" s="221" t="n"/>
      <c r="H7" s="221" t="inlineStr">
        <is>
          <t>Confecámaras</t>
        </is>
      </c>
      <c r="I7" s="221" t="inlineStr">
        <is>
          <t>Cerrada</t>
        </is>
      </c>
    </row>
    <row r="8" ht="32" customHeight="1">
      <c r="A8" s="130" t="n"/>
      <c r="B8" s="228" t="inlineStr">
        <is>
          <t>Cumplimiento incipiente</t>
        </is>
      </c>
      <c r="C8" s="219" t="n">
        <v>0.25</v>
      </c>
      <c r="D8" s="139" t="inlineStr">
        <is>
          <t>En diseño o borrador, o existe solo una práctica informal sin documentar.</t>
        </is>
      </c>
      <c r="E8" s="130" t="n"/>
      <c r="F8" s="130" t="n"/>
      <c r="G8" s="130" t="n"/>
      <c r="H8" s="130" t="n"/>
      <c r="I8" s="130" t="n"/>
    </row>
    <row r="9" ht="32" customHeight="1">
      <c r="A9" s="130" t="n"/>
      <c r="B9" s="229" t="inlineStr">
        <is>
          <t>No cumple</t>
        </is>
      </c>
      <c r="C9" s="219" t="n">
        <v>0</v>
      </c>
      <c r="D9" s="139" t="inlineStr">
        <is>
          <t>No existe documento ni práctica.</t>
        </is>
      </c>
      <c r="E9" s="130" t="n"/>
      <c r="F9" s="130" t="n"/>
      <c r="G9" s="130" t="n"/>
      <c r="H9" s="130" t="n"/>
      <c r="I9" s="130" t="n"/>
    </row>
    <row r="10" ht="32" customHeight="1">
      <c r="A10" s="130" t="n"/>
      <c r="B10" s="230" t="inlineStr">
        <is>
          <t>No aplica</t>
        </is>
      </c>
      <c r="C10" s="231" t="inlineStr">
        <is>
          <t>N/A</t>
        </is>
      </c>
      <c r="D10" s="139" t="inlineStr">
        <is>
          <t>El supuesto no se presenta en la empresa (justifíquelo en la columna de evidencia). Se excluye del cálculo.</t>
        </is>
      </c>
      <c r="E10" s="130" t="n"/>
      <c r="F10" s="130" t="n"/>
      <c r="G10" s="130" t="n"/>
      <c r="H10" s="130" t="n"/>
      <c r="I10" s="130" t="n"/>
    </row>
    <row r="11">
      <c r="A11" s="130" t="n"/>
      <c r="B11" s="130" t="n"/>
      <c r="C11" s="130" t="n"/>
      <c r="D11" s="130" t="n"/>
      <c r="E11" s="130" t="n"/>
      <c r="F11" s="130" t="n"/>
      <c r="G11" s="130" t="n"/>
      <c r="H11" s="130" t="n"/>
      <c r="I11" s="130" t="n"/>
    </row>
    <row r="12">
      <c r="A12" s="130" t="n"/>
      <c r="B12" s="169" t="inlineStr">
        <is>
          <t>Semáforo (umbral mínimo)</t>
        </is>
      </c>
      <c r="C12" s="130" t="n"/>
      <c r="D12" s="130" t="n"/>
      <c r="E12" s="130" t="n"/>
      <c r="F12" s="130" t="n"/>
      <c r="G12" s="130" t="n"/>
      <c r="H12" s="130" t="n"/>
      <c r="I12" s="130" t="n"/>
    </row>
    <row r="13">
      <c r="A13" s="130" t="n"/>
      <c r="B13" s="223" t="inlineStr">
        <is>
          <t>Nivel</t>
        </is>
      </c>
      <c r="C13" s="223" t="inlineStr">
        <is>
          <t>Desde</t>
        </is>
      </c>
      <c r="D13" s="130" t="n"/>
      <c r="E13" s="130" t="n"/>
      <c r="F13" s="130" t="n"/>
      <c r="G13" s="130" t="n"/>
      <c r="H13" s="130" t="n"/>
      <c r="I13" s="130" t="n"/>
    </row>
    <row r="14" ht="20" customHeight="1">
      <c r="A14" s="130" t="n"/>
      <c r="B14" s="225" t="inlineStr">
        <is>
          <t>Adecuado</t>
        </is>
      </c>
      <c r="C14" s="232" t="n">
        <v>0.9</v>
      </c>
      <c r="D14" s="130" t="n"/>
      <c r="E14" s="130" t="n"/>
      <c r="F14" s="130" t="n"/>
      <c r="G14" s="130" t="n"/>
      <c r="H14" s="130" t="n"/>
      <c r="I14" s="130" t="n"/>
    </row>
    <row r="15" ht="20" customHeight="1">
      <c r="A15" s="130" t="n"/>
      <c r="B15" s="227" t="inlineStr">
        <is>
          <t>Aceptable</t>
        </is>
      </c>
      <c r="C15" s="232" t="n">
        <v>0.7</v>
      </c>
      <c r="D15" s="130" t="n"/>
      <c r="E15" s="130" t="n"/>
      <c r="F15" s="130" t="n"/>
      <c r="G15" s="130" t="n"/>
      <c r="H15" s="130" t="n"/>
      <c r="I15" s="130" t="n"/>
    </row>
    <row r="16" ht="20" customHeight="1">
      <c r="A16" s="130" t="n"/>
      <c r="B16" s="228" t="inlineStr">
        <is>
          <t>En desarrollo</t>
        </is>
      </c>
      <c r="C16" s="232" t="n">
        <v>0.5</v>
      </c>
      <c r="D16" s="130" t="n"/>
      <c r="E16" s="130" t="n"/>
      <c r="F16" s="130" t="n"/>
      <c r="G16" s="130" t="n"/>
      <c r="H16" s="130" t="n"/>
      <c r="I16" s="130" t="n"/>
    </row>
    <row r="17" ht="20" customHeight="1">
      <c r="A17" s="130" t="n"/>
      <c r="B17" s="229" t="inlineStr">
        <is>
          <t>Crítico</t>
        </is>
      </c>
      <c r="C17" s="233" t="n">
        <v>0</v>
      </c>
      <c r="D17" s="130" t="n"/>
      <c r="E17" s="130" t="n"/>
      <c r="F17" s="130" t="n"/>
      <c r="G17" s="130" t="n"/>
      <c r="H17" s="130" t="n"/>
      <c r="I17" s="130" t="n"/>
    </row>
    <row r="18">
      <c r="A18" s="130" t="n"/>
      <c r="B18" s="130" t="n"/>
      <c r="C18" s="130" t="n"/>
      <c r="D18" s="130" t="n"/>
      <c r="E18" s="130" t="n"/>
      <c r="F18" s="130" t="n"/>
      <c r="G18" s="130" t="n"/>
      <c r="H18" s="130" t="n"/>
      <c r="I18" s="130" t="n"/>
    </row>
    <row r="19">
      <c r="A19" s="130" t="n"/>
      <c r="B19" s="169" t="inlineStr">
        <is>
          <t>Peso de cada requisito</t>
        </is>
      </c>
      <c r="C19" s="130" t="n"/>
      <c r="D19" s="130" t="n"/>
      <c r="E19" s="130" t="n"/>
      <c r="F19" s="130" t="n"/>
      <c r="G19" s="130" t="n"/>
      <c r="H19" s="130" t="n"/>
      <c r="I19" s="130" t="n"/>
    </row>
    <row r="20">
      <c r="A20" s="130" t="n"/>
      <c r="B20" s="223" t="inlineStr">
        <is>
          <t>Peso</t>
        </is>
      </c>
      <c r="C20" s="222" t="inlineStr">
        <is>
          <t>Significado</t>
        </is>
      </c>
      <c r="D20" s="130" t="n"/>
      <c r="E20" s="130" t="n"/>
      <c r="F20" s="130" t="n"/>
      <c r="G20" s="130" t="n"/>
      <c r="H20" s="130" t="n"/>
      <c r="I20" s="130" t="n"/>
    </row>
    <row r="21" ht="30" customHeight="1">
      <c r="A21" s="130" t="n"/>
      <c r="B21" s="234" t="n">
        <v>0</v>
      </c>
      <c r="C21" s="139" t="inlineStr">
        <is>
          <t>Recomendación: la Circular la sugiere pero no la exige. Se califica para seguimiento, pero no suma ni resta al porcentaje.</t>
        </is>
      </c>
      <c r="D21" s="140" t="n"/>
      <c r="E21" s="130" t="n"/>
      <c r="F21" s="130" t="n"/>
      <c r="G21" s="130" t="n"/>
      <c r="H21" s="130" t="n"/>
      <c r="I21" s="130" t="n"/>
    </row>
    <row r="22" ht="30" customHeight="1">
      <c r="A22" s="130" t="n"/>
      <c r="B22" s="234" t="n">
        <v>3</v>
      </c>
      <c r="C22" s="139" t="inlineStr">
        <is>
          <t>Crítico: obligación expresa del núcleo del Sistema, con plazo o exposición sancionatoria directa (aprobaciones, Oficial de Cumplimiento, ROS/AROS, debida diligencia, matriz de riesgos).</t>
        </is>
      </c>
      <c r="D22" s="140" t="n"/>
      <c r="E22" s="130" t="n"/>
      <c r="F22" s="130" t="n"/>
      <c r="G22" s="130" t="n"/>
      <c r="H22" s="130" t="n"/>
      <c r="I22" s="130" t="n"/>
    </row>
    <row r="23" ht="30" customHeight="1">
      <c r="A23" s="130" t="n"/>
      <c r="B23" s="234" t="n">
        <v>2</v>
      </c>
      <c r="C23" s="139" t="inlineStr">
        <is>
          <t>Importante: obligación expresa que soporta el funcionamiento del Sistema.</t>
        </is>
      </c>
      <c r="D23" s="140" t="n"/>
      <c r="E23" s="130" t="n"/>
      <c r="F23" s="130" t="n"/>
      <c r="G23" s="130" t="n"/>
      <c r="H23" s="130" t="n"/>
      <c r="I23" s="130" t="n"/>
    </row>
    <row r="24" ht="30" customHeight="1">
      <c r="A24" s="130" t="n"/>
      <c r="B24" s="234" t="n">
        <v>1</v>
      </c>
      <c r="C24" s="139" t="inlineStr">
        <is>
          <t>Complementario: aplica solo en ciertos supuestos o es una recomendación de la Circular.</t>
        </is>
      </c>
      <c r="D24" s="140" t="n"/>
      <c r="E24" s="130" t="n"/>
      <c r="F24" s="130" t="n"/>
      <c r="G24" s="130" t="n"/>
      <c r="H24" s="130" t="n"/>
      <c r="I24" s="130" t="n"/>
    </row>
    <row r="25">
      <c r="A25" s="130" t="n"/>
      <c r="B25" s="130" t="n"/>
      <c r="C25" s="130" t="n"/>
      <c r="D25" s="130" t="n"/>
      <c r="E25" s="130" t="n"/>
      <c r="F25" s="130" t="n"/>
      <c r="G25" s="130" t="n"/>
      <c r="H25" s="130" t="n"/>
      <c r="I25" s="130" t="n"/>
    </row>
    <row r="26">
      <c r="A26" s="130" t="n"/>
      <c r="B26" s="134" t="inlineStr">
        <is>
          <t>Puede cambiar el peso de cada requisito en la columna 'Peso' de las matrices (0 a 3).</t>
        </is>
      </c>
      <c r="C26" s="130" t="n"/>
      <c r="D26" s="130" t="n"/>
      <c r="E26" s="130" t="n"/>
      <c r="F26" s="130" t="n"/>
      <c r="G26" s="130" t="n"/>
      <c r="H26" s="130" t="n"/>
      <c r="I26" s="130" t="n"/>
    </row>
  </sheetData>
  <mergeCells count="6">
    <mergeCell ref="C20:D20"/>
    <mergeCell ref="C24:D24"/>
    <mergeCell ref="C21:D21"/>
    <mergeCell ref="B3:I3"/>
    <mergeCell ref="C22:D22"/>
    <mergeCell ref="C23:D23"/>
  </mergeCells>
  <pageMargins left="0.75" right="0.75" top="1" bottom="1" header="0.5" footer="0.5"/>
  <pageSetup fitToHeight="0" fitToWidth="1"/>
  <headerFooter>
    <oddHeader>&amp;L&amp;"Georgia,Bold"&amp;KA12B22Criterio Compliance&amp;R&amp;K57534A&amp;A</oddHeader>
    <oddFooter>&amp;L&amp;8 &amp;K57534Acriteriocompliance.com · Herramienta orientativa: no reemplaza la asesoría profesional&amp;R&amp;8 Pág. &amp;P de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Criterio Compliance</dc:creator>
  <dc:title xmlns:dc="http://purl.org/dc/elements/1.1/">Matriz de cumplimiento Capítulo IX (ejemplo diligenciado)</dc:title>
  <dc:description xmlns:dc="http://purl.org/dc/elements/1.1/">Herramienta orientativa. No reemplaza la asesoría profesional. criteriocompliance.com</dc:description>
  <dc:subject xmlns:dc="http://purl.org/dc/elements/1.1/">Autodiagnóstico del Sistema de Autocontrol y Gestión de Riesgos LA/FT/FP y C/ST</dc:subject>
  <dcterms:created xmlns:dcterms="http://purl.org/dc/terms/" xmlns:xsi="http://www.w3.org/2001/XMLSchema-instance" xsi:type="dcterms:W3CDTF">2026-10-12T00:00:00Z</dcterms:created>
  <dcterms:modified xmlns:dcterms="http://purl.org/dc/terms/" xmlns:xsi="http://www.w3.org/2001/XMLSchema-instance" xsi:type="dcterms:W3CDTF">2026-10-12T00:43:53Z</dcterms:modified>
  <cp:lastModifiedBy>Criterio Compliance</cp:lastModifiedBy>
  <cp:keywords>SAGRILAFT, PTEE, Supersociedades, Circular 100-000020 de 2026, matriz de cumplimiento</cp:keywords>
</cp:coreProperties>
</file>